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6"/>
  <workbookPr showInkAnnotation="0" autoCompressPictures="0"/>
  <mc:AlternateContent xmlns:mc="http://schemas.openxmlformats.org/markup-compatibility/2006">
    <mc:Choice Requires="x15">
      <x15ac:absPath xmlns:x15ac="http://schemas.microsoft.com/office/spreadsheetml/2010/11/ac" url="/Users/Eric/Desktop/"/>
    </mc:Choice>
  </mc:AlternateContent>
  <xr:revisionPtr revIDLastSave="0" documentId="13_ncr:1_{AF62856B-1C49-1E45-8FB2-DF1E6D10ECFF}" xr6:coauthVersionLast="47" xr6:coauthVersionMax="47" xr10:uidLastSave="{00000000-0000-0000-0000-000000000000}"/>
  <bookViews>
    <workbookView xWindow="0" yWindow="500" windowWidth="32260" windowHeight="22200" tabRatio="509" activeTab="1" xr2:uid="{00000000-000D-0000-FFFF-FFFF00000000}"/>
  </bookViews>
  <sheets>
    <sheet name="Control Entry" sheetId="1" r:id="rId1"/>
    <sheet name="Control Card #1" sheetId="2" r:id="rId2"/>
    <sheet name="Control Card #2" sheetId="3" r:id="rId3"/>
    <sheet name="Control Card #3" sheetId="4" r:id="rId4"/>
    <sheet name="Control Card #4" sheetId="5" r:id="rId5"/>
  </sheets>
  <definedNames>
    <definedName name="Address_1" localSheetId="2">#REF!</definedName>
    <definedName name="Address_1" localSheetId="3">#REF!</definedName>
    <definedName name="Address_1" localSheetId="4">#REF!</definedName>
    <definedName name="Address_1">#REF!</definedName>
    <definedName name="Address_2" localSheetId="2">#REF!</definedName>
    <definedName name="Address_2" localSheetId="3">#REF!</definedName>
    <definedName name="Address_2" localSheetId="4">#REF!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2">#REF!</definedName>
    <definedName name="City" localSheetId="3">#REF!</definedName>
    <definedName name="City" localSheetId="4">#REF!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2">'Control Entry'!#REF!</definedName>
    <definedName name="Control_11" localSheetId="3">'Control Entry'!#REF!</definedName>
    <definedName name="Control_11" localSheetId="4">'Control Entry'!#REF!</definedName>
    <definedName name="Control_11">'Control Entry'!#REF!</definedName>
    <definedName name="Control_12" localSheetId="2">'Control Entry'!#REF!</definedName>
    <definedName name="Control_12" localSheetId="3">'Control Entry'!#REF!</definedName>
    <definedName name="Control_12" localSheetId="4">'Control Entry'!#REF!</definedName>
    <definedName name="Control_12">'Control Entry'!#REF!</definedName>
    <definedName name="Control_13" localSheetId="2">'Control Entry'!#REF!</definedName>
    <definedName name="Control_13" localSheetId="3">'Control Entry'!#REF!</definedName>
    <definedName name="Control_13" localSheetId="4">'Control Entry'!#REF!</definedName>
    <definedName name="Control_13">'Control Entry'!#REF!</definedName>
    <definedName name="Control_14" localSheetId="2">'Control Entry'!#REF!</definedName>
    <definedName name="Control_14" localSheetId="3">'Control Entry'!#REF!</definedName>
    <definedName name="Control_14" localSheetId="4">'Control Entry'!#REF!</definedName>
    <definedName name="Control_14">'Control Entry'!#REF!</definedName>
    <definedName name="Control_15" localSheetId="2">'Control Entry'!#REF!</definedName>
    <definedName name="Control_15" localSheetId="3">'Control Entry'!#REF!</definedName>
    <definedName name="Control_15" localSheetId="4">'Control Entry'!#REF!</definedName>
    <definedName name="Control_15">'Control Entry'!#REF!</definedName>
    <definedName name="Control_16" localSheetId="2">'Control Entry'!#REF!</definedName>
    <definedName name="Control_16" localSheetId="3">'Control Entry'!#REF!</definedName>
    <definedName name="Control_16" localSheetId="4">'Control Entry'!#REF!</definedName>
    <definedName name="Control_16">'Control Entry'!#REF!</definedName>
    <definedName name="Control_17" localSheetId="2">'Control Entry'!#REF!</definedName>
    <definedName name="Control_17" localSheetId="3">'Control Entry'!#REF!</definedName>
    <definedName name="Control_17" localSheetId="4">'Control Entry'!#REF!</definedName>
    <definedName name="Control_17">'Control Entry'!#REF!</definedName>
    <definedName name="Control_18" localSheetId="2">'Control Entry'!#REF!</definedName>
    <definedName name="Control_18" localSheetId="3">'Control Entry'!#REF!</definedName>
    <definedName name="Control_18" localSheetId="4">'Control Entry'!#REF!</definedName>
    <definedName name="Control_18">'Control Entry'!#REF!</definedName>
    <definedName name="Control_19" localSheetId="2">'Control Entry'!#REF!</definedName>
    <definedName name="Control_19" localSheetId="3">'Control Entry'!#REF!</definedName>
    <definedName name="Control_19" localSheetId="4">'Control Entry'!#REF!</definedName>
    <definedName name="Control_19">'Control Entry'!#REF!</definedName>
    <definedName name="Control_2">'Control Entry'!$D$16:$O$16</definedName>
    <definedName name="Control_20" localSheetId="2">'Control Entry'!#REF!</definedName>
    <definedName name="Control_20" localSheetId="3">'Control Entry'!#REF!</definedName>
    <definedName name="Control_20" localSheetId="4">'Control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2">#REF!</definedName>
    <definedName name="Country" localSheetId="3">#REF!</definedName>
    <definedName name="Country" localSheetId="4">#REF!</definedName>
    <definedName name="Country">#REF!</definedName>
    <definedName name="Distance">'Control Entry'!$D$15:$D$24</definedName>
    <definedName name="email" localSheetId="2">#REF!</definedName>
    <definedName name="email" localSheetId="3">#REF!</definedName>
    <definedName name="email" localSheetId="4">#REF!</definedName>
    <definedName name="email">#REF!</definedName>
    <definedName name="Establishment_1">'Control Entry'!$F$15:$F$24</definedName>
    <definedName name="Establishment_2">'Control Entry'!$G$15:$G$24</definedName>
    <definedName name="Establishment_3">'Control Entry'!$H$15:$H$24</definedName>
    <definedName name="Fax" localSheetId="2">#REF!</definedName>
    <definedName name="Fax" localSheetId="3">#REF!</definedName>
    <definedName name="Fax" localSheetId="4">#REF!</definedName>
    <definedName name="Fax">#REF!</definedName>
    <definedName name="First_Name" localSheetId="2">#REF!</definedName>
    <definedName name="First_Name" localSheetId="3">#REF!</definedName>
    <definedName name="First_Name" localSheetId="4">#REF!</definedName>
    <definedName name="First_Name">#REF!</definedName>
    <definedName name="Home_telephone" localSheetId="2">#REF!</definedName>
    <definedName name="Home_telephone" localSheetId="3">#REF!</definedName>
    <definedName name="Home_telephone" localSheetId="4">#REF!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 localSheetId="4">#REF!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2">#REF!</definedName>
    <definedName name="Postal_Code" localSheetId="3">#REF!</definedName>
    <definedName name="Postal_Code" localSheetId="4">#REF!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_xlnm.Print_Titles" localSheetId="4">'Control Card #4'!$1:$2</definedName>
    <definedName name="Province_State" localSheetId="2">#REF!</definedName>
    <definedName name="Province_State" localSheetId="3">#REF!</definedName>
    <definedName name="Province_State" localSheetId="4">#REF!</definedName>
    <definedName name="Province_State">#REF!</definedName>
    <definedName name="Start_date">'Control Entry'!$B$12</definedName>
    <definedName name="Start_time">'Control Entry'!$B$13</definedName>
    <definedName name="surname" localSheetId="2">#REF!</definedName>
    <definedName name="surname" localSheetId="3">#REF!</definedName>
    <definedName name="surname" localSheetId="4">#REF!</definedName>
    <definedName name="surname">#REF!</definedName>
    <definedName name="Work_telephone" localSheetId="2">#REF!</definedName>
    <definedName name="Work_telephone" localSheetId="3">#REF!</definedName>
    <definedName name="Work_telephone" localSheetId="4">#REF!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9" i="2" l="1"/>
  <c r="F4" i="3"/>
  <c r="F32" i="5"/>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l="1"/>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S3" i="3"/>
  <c r="S3" i="2"/>
  <c r="Q33" i="5"/>
  <c r="Q32" i="5"/>
  <c r="S20" i="5"/>
  <c r="L20" i="5"/>
  <c r="L6" i="5"/>
  <c r="R5" i="5"/>
  <c r="P5" i="5"/>
  <c r="L63" i="1"/>
  <c r="L62" i="1"/>
  <c r="L61" i="1"/>
  <c r="L60" i="1"/>
  <c r="L59" i="1"/>
  <c r="L58" i="1"/>
  <c r="L57" i="1"/>
  <c r="L56" i="1"/>
  <c r="L55" i="1"/>
  <c r="M54" i="1"/>
  <c r="L54" i="1"/>
  <c r="Q33" i="4"/>
  <c r="Q32" i="4"/>
  <c r="Q33" i="3"/>
  <c r="Q32" i="3"/>
  <c r="Q33" i="2"/>
  <c r="Q32" i="2"/>
  <c r="M48" i="1" l="1"/>
  <c r="M49" i="1"/>
  <c r="M50" i="1"/>
  <c r="M35" i="1"/>
  <c r="M36" i="1"/>
  <c r="M37" i="1"/>
  <c r="M23" i="1"/>
  <c r="M24" i="1"/>
  <c r="S20" i="4" l="1"/>
  <c r="L20" i="4"/>
  <c r="S20" i="3"/>
  <c r="L20" i="3"/>
  <c r="S20" i="2"/>
  <c r="L20"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l="1"/>
  <c r="F11" i="4"/>
  <c r="F10" i="4"/>
  <c r="F9" i="4"/>
  <c r="E11" i="4"/>
  <c r="E10" i="4"/>
  <c r="E9" i="4"/>
  <c r="D10" i="4"/>
  <c r="A10" i="4"/>
  <c r="F8" i="4"/>
  <c r="F7" i="4"/>
  <c r="F6" i="4"/>
  <c r="E8" i="4"/>
  <c r="E7" i="4"/>
  <c r="E6" i="4"/>
  <c r="D7" i="4"/>
  <c r="A7" i="4"/>
  <c r="F5" i="4"/>
  <c r="F4" i="4"/>
  <c r="F3" i="4"/>
  <c r="E4" i="4"/>
  <c r="E3" i="4"/>
  <c r="D4" i="4"/>
  <c r="A4" i="4"/>
  <c r="L50" i="1" l="1"/>
  <c r="L49" i="1"/>
  <c r="L48" i="1"/>
  <c r="L47" i="1"/>
  <c r="L46" i="1"/>
  <c r="L45" i="1"/>
  <c r="L44" i="1"/>
  <c r="L43" i="1"/>
  <c r="L42" i="1"/>
  <c r="L41" i="1"/>
  <c r="L6" i="4"/>
  <c r="R5" i="4"/>
  <c r="P5" i="4"/>
  <c r="E8" i="3" l="1"/>
  <c r="E7" i="3"/>
  <c r="E5" i="3"/>
  <c r="F5" i="2" l="1"/>
  <c r="F32" i="2"/>
  <c r="F31" i="2"/>
  <c r="F30" i="2"/>
  <c r="F29" i="2"/>
  <c r="F28" i="2"/>
  <c r="F27" i="2"/>
  <c r="F26" i="2"/>
  <c r="F25" i="2"/>
  <c r="F24" i="2"/>
  <c r="F23" i="2"/>
  <c r="F22" i="2"/>
  <c r="F21" i="2"/>
  <c r="F20" i="2"/>
  <c r="F18" i="2"/>
  <c r="F17" i="2"/>
  <c r="F16" i="2"/>
  <c r="F15" i="2"/>
  <c r="F14" i="2"/>
  <c r="F13" i="2"/>
  <c r="F12" i="2"/>
  <c r="F11" i="2"/>
  <c r="F10" i="2"/>
  <c r="F9" i="2"/>
  <c r="F8" i="2"/>
  <c r="F7" i="2"/>
  <c r="F6" i="2"/>
  <c r="F4" i="2"/>
  <c r="F3" i="2"/>
  <c r="L15" i="1"/>
  <c r="N15" i="1" s="1"/>
  <c r="L37" i="1"/>
  <c r="L36" i="1"/>
  <c r="L35" i="1"/>
  <c r="L34" i="1"/>
  <c r="L33" i="1"/>
  <c r="L32" i="1"/>
  <c r="L31" i="1"/>
  <c r="L30" i="1"/>
  <c r="L29" i="1"/>
  <c r="L28"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3" i="3"/>
  <c r="E32" i="3"/>
  <c r="E31" i="3"/>
  <c r="E30" i="3"/>
  <c r="E29" i="3"/>
  <c r="E28" i="3"/>
  <c r="E27" i="3"/>
  <c r="E26" i="3"/>
  <c r="E25" i="3"/>
  <c r="E24" i="3"/>
  <c r="E23" i="3"/>
  <c r="E22" i="3"/>
  <c r="E21" i="3"/>
  <c r="E20" i="3"/>
  <c r="E19" i="3"/>
  <c r="E18" i="3"/>
  <c r="E17" i="3"/>
  <c r="E16" i="3"/>
  <c r="E15" i="3"/>
  <c r="E14" i="3"/>
  <c r="E13" i="3"/>
  <c r="E12" i="3"/>
  <c r="E11" i="3"/>
  <c r="E10" i="3"/>
  <c r="E9" i="3"/>
  <c r="E6" i="3"/>
  <c r="C6" i="1"/>
  <c r="E4" i="3"/>
  <c r="E3" i="3"/>
  <c r="D31" i="3"/>
  <c r="D28" i="3"/>
  <c r="D25" i="3"/>
  <c r="D22" i="3"/>
  <c r="D19" i="3"/>
  <c r="D16" i="3"/>
  <c r="D13" i="3"/>
  <c r="D10" i="3"/>
  <c r="D7" i="3"/>
  <c r="D4" i="3"/>
  <c r="A31" i="3"/>
  <c r="A28" i="3"/>
  <c r="A25" i="3"/>
  <c r="A22" i="3"/>
  <c r="A19" i="3"/>
  <c r="A16" i="3"/>
  <c r="A13" i="3"/>
  <c r="A10" i="3"/>
  <c r="A7" i="3"/>
  <c r="A4" i="3"/>
  <c r="L24" i="1"/>
  <c r="L23" i="1"/>
  <c r="L22" i="1"/>
  <c r="L21" i="1"/>
  <c r="L20" i="1"/>
  <c r="L19" i="1"/>
  <c r="L18" i="1"/>
  <c r="L17" i="1"/>
  <c r="L16"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50" i="1" l="1"/>
  <c r="N50" i="1"/>
  <c r="N61" i="1"/>
  <c r="N60" i="1"/>
  <c r="N59" i="1"/>
  <c r="N63" i="1"/>
  <c r="N58" i="1"/>
  <c r="N62" i="1"/>
  <c r="M63" i="1"/>
  <c r="O63" i="1" s="1"/>
  <c r="M61" i="1"/>
  <c r="O61" i="1" s="1"/>
  <c r="M59" i="1"/>
  <c r="O59" i="1" s="1"/>
  <c r="M62" i="1"/>
  <c r="O62" i="1" s="1"/>
  <c r="M60" i="1"/>
  <c r="O60" i="1" s="1"/>
  <c r="M58" i="1"/>
  <c r="O58" i="1" s="1"/>
  <c r="B7" i="1"/>
  <c r="M46" i="1" s="1"/>
  <c r="O46" i="1" s="1"/>
  <c r="M4" i="5"/>
  <c r="M57" i="1"/>
  <c r="O57" i="1" s="1"/>
  <c r="M55" i="1"/>
  <c r="O55" i="1" s="1"/>
  <c r="M56" i="1"/>
  <c r="O56" i="1"/>
  <c r="N56" i="1"/>
  <c r="N57" i="1"/>
  <c r="N55" i="1"/>
  <c r="O54" i="1"/>
  <c r="N54" i="1"/>
  <c r="M4" i="3"/>
  <c r="M42" i="1"/>
  <c r="O42" i="1" s="1"/>
  <c r="M16" i="1"/>
  <c r="M18" i="1"/>
  <c r="O18" i="1" s="1"/>
  <c r="M17" i="1"/>
  <c r="O17" i="1" s="1"/>
  <c r="O48" i="1"/>
  <c r="O49" i="1"/>
  <c r="N48" i="1"/>
  <c r="N42" i="1"/>
  <c r="N47" i="1"/>
  <c r="N43" i="1"/>
  <c r="N45" i="1"/>
  <c r="N49" i="1"/>
  <c r="N46" i="1"/>
  <c r="N44" i="1"/>
  <c r="N41" i="1"/>
  <c r="M4" i="4"/>
  <c r="M15" i="1"/>
  <c r="O15" i="1" s="1"/>
  <c r="C3" i="2" s="1"/>
  <c r="N31" i="1"/>
  <c r="B4" i="2"/>
  <c r="N18" i="1"/>
  <c r="B14" i="2" s="1"/>
  <c r="O23" i="1"/>
  <c r="C27" i="2" s="1"/>
  <c r="N28" i="1"/>
  <c r="N34" i="1"/>
  <c r="N22" i="1"/>
  <c r="B25" i="2" s="1"/>
  <c r="B3" i="2"/>
  <c r="B5" i="2"/>
  <c r="N17" i="1"/>
  <c r="B11" i="2" s="1"/>
  <c r="N21" i="1"/>
  <c r="B22" i="2" s="1"/>
  <c r="N24" i="1"/>
  <c r="B31" i="2" s="1"/>
  <c r="N35" i="1"/>
  <c r="O37" i="1"/>
  <c r="N37" i="1"/>
  <c r="O24" i="1"/>
  <c r="C31" i="2" s="1"/>
  <c r="N16" i="1"/>
  <c r="B6" i="2" s="1"/>
  <c r="N20" i="1"/>
  <c r="B19" i="2" s="1"/>
  <c r="N29" i="1"/>
  <c r="N32" i="1"/>
  <c r="O16" i="1"/>
  <c r="N19" i="1"/>
  <c r="B17" i="2" s="1"/>
  <c r="N23" i="1"/>
  <c r="B27" i="2" s="1"/>
  <c r="N30" i="1"/>
  <c r="N33" i="1"/>
  <c r="N36" i="1"/>
  <c r="M4" i="2"/>
  <c r="O36" i="1"/>
  <c r="O35" i="1"/>
  <c r="M19" i="1" l="1"/>
  <c r="O19" i="1" s="1"/>
  <c r="C17" i="2" s="1"/>
  <c r="M20" i="1"/>
  <c r="O20" i="1" s="1"/>
  <c r="C18" i="2" s="1"/>
  <c r="M32" i="1"/>
  <c r="O32" i="1" s="1"/>
  <c r="C15" i="3" s="1"/>
  <c r="M21" i="1"/>
  <c r="O21" i="1" s="1"/>
  <c r="C23" i="2" s="1"/>
  <c r="M29" i="1"/>
  <c r="O29" i="1" s="1"/>
  <c r="C7" i="3" s="1"/>
  <c r="M43" i="1"/>
  <c r="O43" i="1" s="1"/>
  <c r="C11" i="4" s="1"/>
  <c r="M28" i="1"/>
  <c r="O28" i="1" s="1"/>
  <c r="C3" i="3" s="1"/>
  <c r="M34" i="1"/>
  <c r="O34" i="1" s="1"/>
  <c r="C23" i="3" s="1"/>
  <c r="M41" i="1"/>
  <c r="O41" i="1" s="1"/>
  <c r="C3" i="4" s="1"/>
  <c r="M30" i="1"/>
  <c r="O30" i="1" s="1"/>
  <c r="C11" i="3" s="1"/>
  <c r="M44" i="1"/>
  <c r="O44" i="1" s="1"/>
  <c r="C13" i="4" s="1"/>
  <c r="M33" i="1"/>
  <c r="O33" i="1" s="1"/>
  <c r="C19" i="3" s="1"/>
  <c r="M22" i="1"/>
  <c r="O22" i="1" s="1"/>
  <c r="C26" i="2" s="1"/>
  <c r="M45" i="1"/>
  <c r="O45" i="1" s="1"/>
  <c r="C15" i="4" s="1"/>
  <c r="M31" i="1"/>
  <c r="O31" i="1" s="1"/>
  <c r="C14" i="3" s="1"/>
  <c r="M47" i="1"/>
  <c r="O47" i="1" s="1"/>
  <c r="C22" i="4" s="1"/>
  <c r="C27" i="5"/>
  <c r="C29" i="5"/>
  <c r="C28" i="5"/>
  <c r="B29" i="5"/>
  <c r="B28" i="5"/>
  <c r="B27" i="5"/>
  <c r="B22" i="5"/>
  <c r="B21" i="5"/>
  <c r="B23" i="5"/>
  <c r="C20" i="5"/>
  <c r="C19" i="5"/>
  <c r="C18" i="5"/>
  <c r="B25" i="5"/>
  <c r="B24" i="5"/>
  <c r="B26" i="5"/>
  <c r="C26" i="5"/>
  <c r="C25" i="5"/>
  <c r="C24" i="5"/>
  <c r="C21" i="5"/>
  <c r="C23" i="5"/>
  <c r="C22" i="5"/>
  <c r="C31" i="5"/>
  <c r="C30" i="5"/>
  <c r="C32" i="5"/>
  <c r="B19" i="5"/>
  <c r="B18" i="5"/>
  <c r="B20" i="5"/>
  <c r="B32" i="5"/>
  <c r="B31" i="5"/>
  <c r="B30" i="5"/>
  <c r="B8" i="5"/>
  <c r="B7" i="5"/>
  <c r="B6" i="5"/>
  <c r="B14" i="5"/>
  <c r="B13" i="5"/>
  <c r="B12" i="5"/>
  <c r="C7" i="5"/>
  <c r="C8" i="5"/>
  <c r="C6" i="5"/>
  <c r="B15" i="5"/>
  <c r="B17" i="5"/>
  <c r="B16" i="5"/>
  <c r="B9" i="5"/>
  <c r="B10" i="5"/>
  <c r="B11" i="5"/>
  <c r="C13" i="5"/>
  <c r="C12" i="5"/>
  <c r="C14" i="5"/>
  <c r="C16" i="5"/>
  <c r="C15" i="5"/>
  <c r="C17" i="5"/>
  <c r="C10" i="5"/>
  <c r="C9" i="5"/>
  <c r="C11" i="5"/>
  <c r="B4" i="5"/>
  <c r="B3" i="5"/>
  <c r="B5" i="5"/>
  <c r="B31" i="4"/>
  <c r="B30" i="4"/>
  <c r="B32" i="4"/>
  <c r="C5" i="5"/>
  <c r="C3" i="5"/>
  <c r="C4" i="5"/>
  <c r="C31" i="4"/>
  <c r="C30" i="4"/>
  <c r="C32" i="4"/>
  <c r="B13" i="4"/>
  <c r="B12" i="4"/>
  <c r="B14" i="4"/>
  <c r="B29" i="4"/>
  <c r="B28" i="4"/>
  <c r="B27" i="4"/>
  <c r="B23" i="4"/>
  <c r="B22" i="4"/>
  <c r="B21" i="4"/>
  <c r="B17" i="4"/>
  <c r="B16" i="4"/>
  <c r="B15" i="4"/>
  <c r="B25" i="4"/>
  <c r="B24" i="4"/>
  <c r="B26" i="4"/>
  <c r="C29" i="4"/>
  <c r="C28" i="4"/>
  <c r="C27" i="4"/>
  <c r="C4" i="2"/>
  <c r="B19" i="4"/>
  <c r="B18" i="4"/>
  <c r="B20" i="4"/>
  <c r="C20" i="4"/>
  <c r="C19" i="4"/>
  <c r="C18" i="4"/>
  <c r="C26" i="4"/>
  <c r="C25" i="4"/>
  <c r="C24" i="4"/>
  <c r="C8" i="4"/>
  <c r="C7" i="4"/>
  <c r="C6" i="4"/>
  <c r="B8" i="4"/>
  <c r="B7" i="4"/>
  <c r="B6" i="4"/>
  <c r="B9" i="4"/>
  <c r="B11" i="4"/>
  <c r="B10" i="4"/>
  <c r="B5" i="4"/>
  <c r="B4" i="4"/>
  <c r="B3" i="4"/>
  <c r="B21" i="3"/>
  <c r="B29" i="3"/>
  <c r="B6" i="3"/>
  <c r="B26" i="3"/>
  <c r="B5" i="3"/>
  <c r="B11" i="3"/>
  <c r="B32" i="3"/>
  <c r="B16" i="3"/>
  <c r="C31" i="3"/>
  <c r="C5" i="2"/>
  <c r="B19" i="3"/>
  <c r="B14" i="3"/>
  <c r="B25" i="3"/>
  <c r="B13" i="3"/>
  <c r="B12" i="3"/>
  <c r="B21" i="2"/>
  <c r="B26" i="2"/>
  <c r="C30" i="3"/>
  <c r="B3" i="3"/>
  <c r="B8" i="2"/>
  <c r="B12" i="2"/>
  <c r="B13" i="2"/>
  <c r="B22" i="3"/>
  <c r="B30" i="3"/>
  <c r="B27" i="3"/>
  <c r="B8" i="3"/>
  <c r="C29" i="2"/>
  <c r="B18" i="3"/>
  <c r="B29" i="2"/>
  <c r="B15" i="2"/>
  <c r="B31" i="3"/>
  <c r="B18" i="2"/>
  <c r="B10" i="3"/>
  <c r="B32" i="2"/>
  <c r="C28" i="2"/>
  <c r="C30" i="2"/>
  <c r="B20" i="2"/>
  <c r="B24" i="3"/>
  <c r="B28" i="3"/>
  <c r="B7" i="3"/>
  <c r="B4" i="3"/>
  <c r="B16" i="2"/>
  <c r="B7" i="2"/>
  <c r="C19" i="2"/>
  <c r="C13" i="2"/>
  <c r="C12" i="2"/>
  <c r="C14" i="2"/>
  <c r="B23" i="3"/>
  <c r="B9" i="2"/>
  <c r="B30" i="2"/>
  <c r="C32" i="2"/>
  <c r="B10" i="2"/>
  <c r="B9" i="3"/>
  <c r="B24" i="2"/>
  <c r="B20" i="3"/>
  <c r="C9" i="2"/>
  <c r="C10" i="2"/>
  <c r="B28" i="2"/>
  <c r="B23" i="2"/>
  <c r="B17" i="3"/>
  <c r="C8" i="2"/>
  <c r="C7" i="2"/>
  <c r="C11" i="2"/>
  <c r="B15" i="3"/>
  <c r="C32" i="3"/>
  <c r="C6" i="2"/>
  <c r="C25" i="3"/>
  <c r="C26" i="3"/>
  <c r="C24" i="3"/>
  <c r="C27" i="3"/>
  <c r="C28" i="3"/>
  <c r="C29" i="3"/>
  <c r="C17" i="3" l="1"/>
  <c r="C20" i="2"/>
  <c r="C16" i="3"/>
  <c r="C24" i="2"/>
  <c r="C16" i="2"/>
  <c r="C21" i="2"/>
  <c r="C15" i="2"/>
  <c r="C22" i="2"/>
  <c r="C6" i="3"/>
  <c r="C25" i="2"/>
  <c r="C4" i="4"/>
  <c r="C5" i="4"/>
  <c r="C20" i="3"/>
  <c r="C21" i="4"/>
  <c r="C10" i="3"/>
  <c r="C18" i="3"/>
  <c r="C8" i="3"/>
  <c r="C16" i="4"/>
  <c r="C9" i="4"/>
  <c r="C10" i="4"/>
  <c r="C17" i="4"/>
  <c r="C5" i="3"/>
  <c r="C13" i="3"/>
  <c r="C12" i="4"/>
  <c r="C14" i="4"/>
  <c r="C21" i="3"/>
  <c r="C22" i="3"/>
  <c r="C23" i="4"/>
  <c r="C12" i="3"/>
  <c r="C9" i="3"/>
  <c r="C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7" authorId="1" shapeId="0" xr:uid="{00000000-0006-0000-0000-000002000000}">
      <text>
        <r>
          <rPr>
            <sz val="8"/>
            <color rgb="FF000000"/>
            <rFont val="Tahoma"/>
            <family val="2"/>
          </rPr>
          <t>Autocalculated based on ACP specified times</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2" authorId="0" shapeId="0" xr:uid="{6F09A1DF-13DF-0541-9E9F-4A78251D3B7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<sst xmlns="http://schemas.openxmlformats.org/spreadsheetml/2006/main" count="468" uniqueCount="162">
  <si>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</si>
  <si>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</si>
  <si>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</si>
  <si>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</si>
  <si>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</si>
  <si>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</si>
  <si>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</si>
  <si>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</si>
  <si>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</si>
  <si>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</si>
  <si>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</si>
  <si>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</si>
  <si>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</si>
  <si>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</si>
  <si>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</si>
  <si>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</si>
  <si>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</si>
  <si>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</si>
  <si>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</si>
  <si>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</si>
  <si>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</si>
  <si>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</si>
  <si>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</si>
  <si>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</si>
  <si>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</si>
  <si>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</si>
  <si>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</si>
  <si>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</si>
  <si>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</si>
  <si>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</si>
  <si>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</si>
  <si>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</si>
  <si>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</si>
  <si>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</si>
  <si>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</si>
  <si>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</si>
  <si>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</si>
  <si>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</si>
  <si>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</si>
  <si>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</si>
  <si>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</si>
  <si>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</si>
  <si>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</si>
  <si>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</si>
  <si>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</si>
  <si>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</si>
  <si>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</si>
  <si>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</si>
  <si>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</si>
  <si>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</si>
  <si>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</si>
  <si>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</si>
  <si>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</si>
  <si>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</si>
  <si>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</si>
  <si>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</si>
  <si>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</si>
  <si>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</si>
  <si>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</si>
  <si>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</si>
  <si>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</si>
  <si>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</si>
  <si>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</si>
  <si>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</si>
  <si>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</si>
  <si>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</si>
  <si>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</si>
  <si>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</si>
  <si>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</si>
  <si>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</si>
  <si>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</si>
  <si>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</si>
  <si>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</si>
  <si>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</si>
  <si>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</si>
  <si>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</si>
  <si>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</si>
  <si>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</si>
  <si>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</si>
  <si>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</si>
  <si>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</si>
  <si>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</si>
  <si>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</si>
  <si>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</si>
  <si>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</si>
  <si>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</si>
  <si>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</si>
  <si>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</si>
  <si>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</si>
  <si>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</si>
  <si>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</si>
  <si>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INFORMATION</t>
  </si>
  <si>
    <t>STAFFED</t>
  </si>
  <si>
    <t>SELF CHECK</t>
  </si>
  <si>
    <t>Historical marker</t>
  </si>
  <si>
    <t xml:space="preserve">SAANICH </t>
  </si>
  <si>
    <t>VICTORIA</t>
  </si>
  <si>
    <t>ESQUIMALT</t>
  </si>
  <si>
    <t>LANGFORD</t>
  </si>
  <si>
    <t>METCHOSIN</t>
  </si>
  <si>
    <t>NORTH SAANICH</t>
  </si>
  <si>
    <t>SECRET</t>
  </si>
  <si>
    <t>SIDNEY</t>
  </si>
  <si>
    <t>BC Indians War Memorial</t>
  </si>
  <si>
    <t>Beacon Hill Park</t>
  </si>
  <si>
    <t>Falaise Park</t>
  </si>
  <si>
    <t>DND Stone House</t>
  </si>
  <si>
    <t>300 Victoria View Rd</t>
  </si>
  <si>
    <t>God's Acre Cemetary</t>
  </si>
  <si>
    <t>Veteran's Dr</t>
  </si>
  <si>
    <t>Veterans Memorial Park</t>
  </si>
  <si>
    <t>Aldwyn Rd</t>
  </si>
  <si>
    <t>Cadet Training Centre</t>
  </si>
  <si>
    <t>100 Albert Head Rd</t>
  </si>
  <si>
    <t>COLWOOD</t>
  </si>
  <si>
    <t>Royal Roads University</t>
  </si>
  <si>
    <t>Military College Parade Square</t>
  </si>
  <si>
    <t>BRENTWOOD BAY</t>
  </si>
  <si>
    <t>Central Saanich Cenotaph</t>
  </si>
  <si>
    <t>Pioneer Park</t>
  </si>
  <si>
    <t>Lt. H Gray VC Memorial</t>
  </si>
  <si>
    <t>BC Aviation Museum</t>
  </si>
  <si>
    <t>Royal Oak Cenotaph</t>
  </si>
  <si>
    <t>Royal Oak Burial Park</t>
  </si>
  <si>
    <t>CAF 'Star of Military' plaque</t>
  </si>
  <si>
    <t>Beacon Park</t>
  </si>
  <si>
    <t>Memorial Trees plaque</t>
  </si>
  <si>
    <t>Shelbourne Ave centre median</t>
  </si>
  <si>
    <t>Chinese War Memorial</t>
  </si>
  <si>
    <t>Gate of Harmonious Interest</t>
  </si>
  <si>
    <t>Spirit of the Republic</t>
  </si>
  <si>
    <t>Confederation Garden Court</t>
  </si>
  <si>
    <t>Year that the plaque was erected</t>
  </si>
  <si>
    <t>Take selfie at  totem pole or send GPS track ie: Strava</t>
  </si>
  <si>
    <t>What is in statue's left hand?</t>
  </si>
  <si>
    <t>Maple Leaf on Ground to the left of Memorial: .</t>
  </si>
  <si>
    <t>How many men and women?__</t>
  </si>
  <si>
    <t xml:space="preserve">Plaque on left hand side of granite stone (second paragraph:) </t>
  </si>
  <si>
    <t>Date on plaque:</t>
  </si>
  <si>
    <t>June ___,2007</t>
  </si>
  <si>
    <t xml:space="preserve">Bottom name on right: </t>
  </si>
  <si>
    <t>Yuen,______</t>
  </si>
  <si>
    <t>19___</t>
  </si>
  <si>
    <t>__________</t>
  </si>
  <si>
    <t xml:space="preserve">Sign on right: Lot 12 is </t>
  </si>
  <si>
    <t>The ______Residence</t>
  </si>
  <si>
    <t xml:space="preserve">Sign above Chapel </t>
  </si>
  <si>
    <t>Consecrated  July 18__</t>
  </si>
  <si>
    <t xml:space="preserve">Plaque at foot of Statue </t>
  </si>
  <si>
    <t>Erected October __, 2001</t>
  </si>
  <si>
    <t xml:space="preserve">On Sign on Fence </t>
  </si>
  <si>
    <t>By order of ___</t>
  </si>
  <si>
    <t xml:space="preserve">On plaque "military college period </t>
  </si>
  <si>
    <t>19__-1995</t>
  </si>
  <si>
    <t xml:space="preserve">Plaque on left of Cenotaph </t>
  </si>
  <si>
    <t>Year of the Veteran 20__</t>
  </si>
  <si>
    <t>On Stone house at #300</t>
  </si>
  <si>
    <t>Number of window panes to the left of the door</t>
  </si>
  <si>
    <t>___</t>
  </si>
  <si>
    <t>How many Canadians served on aircraft carriers of the RN Fleet Air Arm"</t>
  </si>
  <si>
    <t>_____</t>
  </si>
  <si>
    <t>Permanent #232: VI Remembrance Day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</si>
</sst>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3"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20"/>
      <color theme="0" tint="-0.249977111117893"/>
      <name val="Impact"/>
      <family val="2"/>
    </font>
    <font>
      <sz val="16"/>
      <color rgb="FFFF0000"/>
      <name val="Arial"/>
      <family val="2"/>
    </font>
    <font>
      <sz val="9"/>
      <name val="Arial"/>
      <family val="2"/>
    </font>
    <font>
      <sz val="11"/>
      <name val="Arial Narrow"/>
      <family val="2"/>
    </font>
  </fonts>
  <fills count="3">
    <fill>
      <patternFill patternType="none"/>
    </fill>
    <fill>
      <patternFill patternType="gray125"/>
    </fill>
    <fill>
      <patternFill patternType="solid">
        <fgColor indexed="22"/>
        <bgColor indexed="64"/>
      </patternFill>
    </fill>
  </fills>
  <borders count="29">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2">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0" fillId="0" borderId="20" xfId="0" applyBorder="1"/>
    <xf numFmtId="0" fontId="0" fillId="0" borderId="21" xfId="0" applyBorder="1"/>
    <xf numFmtId="0" fontId="0" fillId="0" borderId="17" xfId="0" applyBorder="1"/>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Alignment="1">
      <alignment horizontal="right"/>
    </xf>
    <xf numFmtId="0" fontId="10" fillId="0" borderId="0" xfId="0" applyFont="1" applyAlignment="1">
      <alignment horizontal="left"/>
    </xf>
    <xf numFmtId="0" fontId="5" fillId="2" borderId="3" xfId="0" applyFont="1" applyFill="1" applyBorder="1" applyAlignment="1">
      <alignment horizontal="right"/>
    </xf>
    <xf numFmtId="168" fontId="10" fillId="0" borderId="0" xfId="0" applyNumberFormat="1" applyFont="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Alignment="1">
      <alignment wrapText="1"/>
    </xf>
    <xf numFmtId="0" fontId="10" fillId="0" borderId="0" xfId="0" applyFont="1" applyAlignment="1">
      <alignment horizontal="center"/>
    </xf>
    <xf numFmtId="18" fontId="23" fillId="0" borderId="0" xfId="0" applyNumberFormat="1" applyFont="1" applyAlignment="1">
      <alignment horizontal="center" wrapText="1"/>
    </xf>
    <xf numFmtId="0" fontId="10" fillId="0" borderId="0" xfId="0" applyFont="1" applyAlignment="1">
      <alignment horizontal="left" vertical="center"/>
    </xf>
    <xf numFmtId="169" fontId="10" fillId="0" borderId="0" xfId="0" applyNumberFormat="1" applyFont="1" applyAlignment="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Font="1" applyAlignment="1">
      <alignment horizontal="center" wrapText="1"/>
    </xf>
    <xf numFmtId="0" fontId="9" fillId="0" borderId="0" xfId="0" applyFont="1"/>
    <xf numFmtId="0" fontId="5" fillId="0" borderId="0" xfId="0" applyFont="1"/>
    <xf numFmtId="0" fontId="27" fillId="2" borderId="26" xfId="0" applyFont="1" applyFill="1" applyBorder="1"/>
    <xf numFmtId="0" fontId="0" fillId="2" borderId="27" xfId="0" applyFill="1" applyBorder="1" applyAlignment="1">
      <alignment horizontal="right"/>
    </xf>
    <xf numFmtId="0" fontId="5" fillId="2" borderId="28" xfId="0" applyFont="1" applyFill="1" applyBorder="1" applyAlignment="1">
      <alignment horizontal="right"/>
    </xf>
    <xf numFmtId="0" fontId="6" fillId="0" borderId="0" xfId="0" applyFont="1" applyAlignment="1">
      <alignment vertical="top" wrapText="1"/>
    </xf>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15" fontId="32" fillId="0" borderId="4" xfId="0" applyNumberFormat="1" applyFont="1" applyBorder="1" applyAlignment="1" applyProtection="1">
      <alignment horizontal="center"/>
      <protection locked="0"/>
    </xf>
    <xf numFmtId="0" fontId="31" fillId="2" borderId="28" xfId="0" applyFont="1" applyFill="1" applyBorder="1" applyAlignment="1">
      <alignment horizontal="right"/>
    </xf>
    <xf numFmtId="15" fontId="31" fillId="2" borderId="2" xfId="0" applyNumberFormat="1" applyFont="1" applyFill="1" applyBorder="1" applyAlignment="1">
      <alignment horizontal="left"/>
    </xf>
    <xf numFmtId="0" fontId="31" fillId="0" borderId="0" xfId="0" applyFont="1"/>
    <xf numFmtId="0" fontId="31" fillId="0" borderId="0" xfId="0" applyFont="1" applyAlignment="1">
      <alignment wrapText="1"/>
    </xf>
    <xf numFmtId="167" fontId="0" fillId="0" borderId="13" xfId="0" applyNumberFormat="1" applyBorder="1"/>
    <xf numFmtId="49" fontId="5" fillId="0" borderId="14" xfId="0" quotePrefix="1" applyNumberFormat="1" applyFont="1" applyBorder="1" applyAlignment="1" applyProtection="1">
      <alignment horizontal="center"/>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1" fillId="0" borderId="0" xfId="0" applyFont="1" applyAlignment="1">
      <alignment horizontal="left" vertical="top" wrapText="1"/>
    </xf>
    <xf numFmtId="0" fontId="30"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28" fillId="0" borderId="0" xfId="0" applyFont="1" applyAlignment="1">
      <alignment horizontal="right"/>
    </xf>
    <xf numFmtId="0" fontId="0" fillId="2" borderId="9" xfId="0" applyFill="1" applyBorder="1" applyAlignment="1">
      <alignment horizontal="center"/>
    </xf>
    <xf numFmtId="0" fontId="10" fillId="0" borderId="0" xfId="0" applyFont="1" applyAlignment="1">
      <alignment horizontal="righ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9" fillId="0" borderId="18" xfId="0" applyFont="1" applyBorder="1" applyAlignment="1" applyProtection="1">
      <alignment horizontal="left"/>
      <protection locked="0"/>
    </xf>
    <xf numFmtId="0" fontId="8" fillId="0" borderId="5" xfId="0" applyFont="1" applyBorder="1" applyAlignment="1" applyProtection="1">
      <alignment horizontal="left"/>
      <protection locked="0"/>
    </xf>
    <xf numFmtId="0" fontId="7" fillId="0" borderId="18" xfId="0" applyFont="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2" fillId="0" borderId="18" xfId="0" applyFont="1" applyBorder="1" applyAlignment="1" applyProtection="1">
      <alignment horizontal="left"/>
      <protection locked="0"/>
    </xf>
    <xf numFmtId="168" fontId="10" fillId="0" borderId="0" xfId="0" applyNumberFormat="1" applyFont="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10" fillId="0" borderId="18" xfId="0" applyNumberFormat="1" applyFont="1" applyBorder="1" applyAlignment="1" applyProtection="1">
      <alignment horizontal="center"/>
      <protection locked="0"/>
    </xf>
    <xf numFmtId="0" fontId="6" fillId="0" borderId="0" xfId="0" applyFont="1" applyAlignment="1">
      <alignment horizontal="center" wrapText="1"/>
    </xf>
    <xf numFmtId="0" fontId="5" fillId="0" borderId="0" xfId="0" applyFont="1" applyAlignment="1">
      <alignment horizontal="right" vertical="top"/>
    </xf>
    <xf numFmtId="0" fontId="0" fillId="0" borderId="0" xfId="0" applyAlignment="1">
      <alignment horizontal="right" vertical="top"/>
    </xf>
    <xf numFmtId="15" fontId="0" fillId="0" borderId="0" xfId="0" applyNumberFormat="1" applyAlignment="1">
      <alignment horizontal="left" vertical="top"/>
    </xf>
    <xf numFmtId="168" fontId="10" fillId="0" borderId="18" xfId="0" applyNumberFormat="1" applyFont="1" applyBorder="1" applyAlignment="1">
      <alignment horizontal="center"/>
    </xf>
    <xf numFmtId="0" fontId="7" fillId="0" borderId="18" xfId="0" applyFont="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15">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showGridLines="0" zoomScale="150" zoomScaleNormal="150" zoomScalePageLayoutView="135" workbookViewId="0">
      <selection activeCell="B12" sqref="B12"/>
    </sheetView>
  </sheetViews>
  <sheetFormatPr baseColWidth="10" defaultColWidth="8.83203125" defaultRowHeight="13" x14ac:dyDescent="0.15"/>
  <cols>
    <col min="1" max="1" width="16.5" style="2" customWidth="1"/>
    <col min="2" max="2" width="10.5" bestFit="1" customWidth="1"/>
    <col min="3" max="3" width="8.83203125"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6" ht="20" customHeight="1" x14ac:dyDescent="0.2">
      <c r="A1" s="101" t="s">
        <v>83</v>
      </c>
      <c r="B1" s="101"/>
      <c r="C1" s="101"/>
      <c r="D1" s="101"/>
      <c r="E1" s="101"/>
      <c r="F1" s="101"/>
      <c r="G1" s="101"/>
      <c r="H1" s="101"/>
      <c r="I1" s="77" t="s">
        <v>85</v>
      </c>
      <c r="Q1" s="100" t="s">
        <v>89</v>
      </c>
      <c r="R1" s="100"/>
      <c r="S1" s="100"/>
      <c r="T1" s="100"/>
      <c r="U1" s="100"/>
      <c r="V1" s="100"/>
      <c r="W1" s="100"/>
      <c r="X1" s="100"/>
      <c r="Y1" s="100"/>
      <c r="Z1" s="100"/>
    </row>
    <row r="2" spans="1:26" ht="13" customHeight="1" thickBot="1" x14ac:dyDescent="0.2">
      <c r="H2" s="82"/>
      <c r="I2" s="82"/>
      <c r="Q2" s="100"/>
      <c r="R2" s="100"/>
      <c r="S2" s="100"/>
      <c r="T2" s="100"/>
      <c r="U2" s="100"/>
      <c r="V2" s="100"/>
      <c r="W2" s="100"/>
      <c r="X2" s="100"/>
      <c r="Y2" s="100"/>
      <c r="Z2" s="100"/>
    </row>
    <row r="3" spans="1:26" s="93" customFormat="1" ht="13" customHeight="1" thickBot="1" x14ac:dyDescent="0.2">
      <c r="A3" s="91" t="s">
        <v>82</v>
      </c>
      <c r="B3" s="92">
        <v>44700</v>
      </c>
      <c r="H3" s="94"/>
      <c r="I3" s="94"/>
      <c r="Q3" s="100"/>
      <c r="R3" s="100"/>
      <c r="S3" s="100"/>
      <c r="T3" s="100"/>
      <c r="U3" s="100"/>
      <c r="V3" s="100"/>
      <c r="W3" s="100"/>
      <c r="X3" s="100"/>
      <c r="Y3" s="100"/>
      <c r="Z3" s="100"/>
    </row>
    <row r="4" spans="1:26" ht="13" customHeight="1" x14ac:dyDescent="0.15">
      <c r="A4" s="80" t="s">
        <v>86</v>
      </c>
      <c r="B4" s="90">
        <v>44870</v>
      </c>
      <c r="C4"/>
      <c r="H4" s="82"/>
      <c r="I4" s="82"/>
      <c r="Q4" s="100"/>
      <c r="R4" s="100"/>
      <c r="S4" s="100"/>
      <c r="T4" s="100"/>
      <c r="U4" s="100"/>
      <c r="V4" s="100"/>
      <c r="W4" s="100"/>
      <c r="X4" s="100"/>
      <c r="Y4" s="100"/>
      <c r="Z4" s="100"/>
    </row>
    <row r="5" spans="1:26" ht="14" thickBot="1" x14ac:dyDescent="0.2">
      <c r="H5" s="82"/>
      <c r="I5" s="82"/>
      <c r="Q5" s="100"/>
      <c r="R5" s="100"/>
      <c r="S5" s="100"/>
      <c r="T5" s="100"/>
      <c r="U5" s="100"/>
      <c r="V5" s="100"/>
      <c r="W5" s="100"/>
      <c r="X5" s="100"/>
      <c r="Y5" s="100"/>
      <c r="Z5" s="100"/>
    </row>
    <row r="6" spans="1:26" ht="18" x14ac:dyDescent="0.2">
      <c r="A6" s="11" t="s">
        <v>18</v>
      </c>
      <c r="B6" s="60">
        <v>201</v>
      </c>
      <c r="C6">
        <f>IF(Brevet_Length&gt;=1200,Brevet_Length,IF(Brevet_Length&gt;=1000,1000,IF(Brevet_Length&gt;=600,600,IF(Brevet_Length&gt;=400,400,IF(Brevet_Length&gt;=300,300,IF(Brevet_Length&gt;=200,200,100))))))</f>
        <v>200</v>
      </c>
      <c r="J6" s="105" t="s">
        <v>63</v>
      </c>
      <c r="K6" s="105"/>
      <c r="Q6" s="64" t="s">
        <v>64</v>
      </c>
      <c r="R6" s="64"/>
      <c r="S6" s="64"/>
      <c r="T6" s="64"/>
      <c r="U6" s="64"/>
      <c r="V6" s="64"/>
      <c r="W6" s="64"/>
    </row>
    <row r="7" spans="1:26" ht="14" thickBot="1" x14ac:dyDescent="0.2">
      <c r="A7" s="12" t="s">
        <v>19</v>
      </c>
      <c r="B7" s="13">
        <f>IF(brevet=1200,90,IF(brevet=1000,75,IF(brevet=600,40,IF(brevet=400,27,IF(brevet=300,20,IF(brevet=200,13.5,IF(brevet=100,7,0)))))))</f>
        <v>13.5</v>
      </c>
      <c r="Q7" t="s">
        <v>65</v>
      </c>
    </row>
    <row r="8" spans="1:26" ht="19" thickBot="1" x14ac:dyDescent="0.25">
      <c r="A8" s="12" t="s">
        <v>20</v>
      </c>
      <c r="B8" s="102" t="s">
        <v>161</v>
      </c>
      <c r="C8" s="103"/>
      <c r="D8" s="103"/>
      <c r="E8" s="103"/>
      <c r="F8" s="103"/>
      <c r="G8" s="103"/>
      <c r="H8" s="104"/>
      <c r="I8" s="24"/>
      <c r="J8" s="24"/>
      <c r="K8" s="24"/>
      <c r="Q8" s="64" t="s">
        <v>66</v>
      </c>
    </row>
    <row r="9" spans="1:26" ht="18" x14ac:dyDescent="0.2">
      <c r="A9" s="12" t="s">
        <v>21</v>
      </c>
      <c r="B9" s="61">
        <v>5236</v>
      </c>
      <c r="C9" s="21"/>
      <c r="F9" s="22"/>
      <c r="G9" s="22"/>
      <c r="H9" s="22"/>
      <c r="I9" s="22"/>
      <c r="J9" s="22"/>
      <c r="K9" s="22"/>
      <c r="Q9" s="64" t="s">
        <v>67</v>
      </c>
    </row>
    <row r="10" spans="1:26" ht="18" x14ac:dyDescent="0.2">
      <c r="A10" s="43" t="s">
        <v>48</v>
      </c>
      <c r="B10" s="62"/>
      <c r="Q10" s="64" t="s">
        <v>68</v>
      </c>
    </row>
    <row r="11" spans="1:26" ht="6" customHeight="1" x14ac:dyDescent="0.15">
      <c r="B11" s="83"/>
    </row>
    <row r="12" spans="1:26" ht="18" customHeight="1" thickBot="1" x14ac:dyDescent="0.25">
      <c r="A12" s="79" t="s">
        <v>22</v>
      </c>
      <c r="B12" s="62"/>
      <c r="Q12" s="64" t="s">
        <v>76</v>
      </c>
    </row>
    <row r="13" spans="1:26" ht="19" thickBot="1" x14ac:dyDescent="0.25">
      <c r="A13" s="10" t="s">
        <v>23</v>
      </c>
      <c r="B13" s="63">
        <v>0</v>
      </c>
      <c r="D13" s="97" t="s">
        <v>81</v>
      </c>
      <c r="E13" s="98"/>
      <c r="F13" s="98"/>
      <c r="G13" s="98"/>
      <c r="H13" s="98"/>
      <c r="I13" s="106" t="s">
        <v>71</v>
      </c>
      <c r="J13" s="98"/>
      <c r="K13" s="99"/>
      <c r="Q13" s="64" t="s">
        <v>75</v>
      </c>
    </row>
    <row r="14" spans="1:26" ht="14" thickBot="1" x14ac:dyDescent="0.2">
      <c r="D14" s="6" t="s">
        <v>24</v>
      </c>
      <c r="E14" s="7" t="s">
        <v>25</v>
      </c>
      <c r="F14" s="54" t="s">
        <v>26</v>
      </c>
      <c r="G14" s="54" t="s">
        <v>27</v>
      </c>
      <c r="H14" s="55" t="s">
        <v>28</v>
      </c>
      <c r="I14" s="7" t="s">
        <v>60</v>
      </c>
      <c r="J14" s="7" t="s">
        <v>61</v>
      </c>
      <c r="K14" s="8" t="s">
        <v>62</v>
      </c>
      <c r="L14" t="s">
        <v>3</v>
      </c>
      <c r="M14" t="s">
        <v>4</v>
      </c>
      <c r="N14" t="s">
        <v>5</v>
      </c>
      <c r="O14" t="s">
        <v>6</v>
      </c>
      <c r="Q14" s="64" t="s">
        <v>69</v>
      </c>
    </row>
    <row r="15" spans="1:26" ht="17" customHeight="1" x14ac:dyDescent="0.15">
      <c r="C15" s="3" t="s">
        <v>7</v>
      </c>
      <c r="D15" s="95">
        <v>0</v>
      </c>
      <c r="E15" s="66" t="s">
        <v>96</v>
      </c>
      <c r="F15" s="67" t="s">
        <v>92</v>
      </c>
      <c r="G15" s="67" t="s">
        <v>103</v>
      </c>
      <c r="H15" s="68" t="s">
        <v>104</v>
      </c>
      <c r="I15" s="67"/>
      <c r="J15" s="67"/>
      <c r="K15" s="68"/>
      <c r="L15" s="4">
        <f>Start_date+Start_time</f>
        <v>0</v>
      </c>
      <c r="M15" s="4">
        <f>L15+"1:00"</f>
        <v>4.1666666666666664E-2</v>
      </c>
      <c r="N15" s="5">
        <f>IF(ISBLANK(Distance),"",Open Control_1)</f>
        <v>0</v>
      </c>
      <c r="O15" s="5">
        <f>IF(ISBLANK(Distance),"",Close Control_1)</f>
        <v>4.1666666666666664E-2</v>
      </c>
      <c r="Q15" s="64" t="s">
        <v>84</v>
      </c>
    </row>
    <row r="16" spans="1:26" ht="17" customHeight="1" x14ac:dyDescent="0.15">
      <c r="B16" s="72"/>
      <c r="C16" s="3" t="s">
        <v>8</v>
      </c>
      <c r="D16" s="23">
        <v>24.5</v>
      </c>
      <c r="E16" s="66" t="s">
        <v>95</v>
      </c>
      <c r="F16" s="67" t="s">
        <v>91</v>
      </c>
      <c r="G16" s="67" t="s">
        <v>94</v>
      </c>
      <c r="H16" s="68" t="s">
        <v>105</v>
      </c>
      <c r="I16" s="67" t="s">
        <v>144</v>
      </c>
      <c r="J16" s="67" t="s">
        <v>145</v>
      </c>
      <c r="K16" s="68"/>
      <c r="L16">
        <f>IF(ISBLANK(Distance),"",IF(Distance&gt;1000,(Distance-1000)/26+33.0847,(IF(Distance&gt;600,(Distance-600)/28+18.799,(IF(Distance&gt;400,(Distance-400)/30+12.1324,(IF(Distance&gt;200,(Distance-200)/32+5.8824,Distance/34))))))))</f>
        <v>0.72058823529411764</v>
      </c>
      <c r="M16">
        <f t="shared" ref="M16:M24" si="0">IF(ISBLANK(Distance),"",IF(Distance&gt;=brevet,IF(brevet&gt;1200,(brevet-1200)*75/1000+90,Max_time),IF(Distance&gt;1200,(Distance-1200)*75/1000+90,IF(Distance&gt;1000,(Distance-1000)/(1000/75)+75,IF(Distance&gt;600,(Distance-600)/(400/35)+40,IF(Distance&lt;=60,(Distance/20+1),Distance/15))))))</f>
        <v>2.2250000000000001</v>
      </c>
      <c r="N16" s="5">
        <f>IF(ISBLANK(Distance),"",Open_time Control_1+(INT(Open)&amp;":"&amp;IF(ROUND(((Open-INT(Open))*60),0)&lt;10,0,"")&amp;ROUND(((Open-INT(Open))*60),0)))</f>
        <v>2.9861111111111113E-2</v>
      </c>
      <c r="O16" s="5">
        <f>IF(ISBLANK(Distance),"",Open_time Control_1+(INT(Close)&amp;":"&amp;IF(ROUND(((Close-INT(Close))*60),0)&lt;10,0,"")&amp;ROUND(((Close-INT(Close))*60),0)))</f>
        <v>9.3055555555555558E-2</v>
      </c>
      <c r="Q16" s="64" t="s">
        <v>70</v>
      </c>
    </row>
    <row r="17" spans="2:17" ht="17" customHeight="1" x14ac:dyDescent="0.15">
      <c r="B17" s="72"/>
      <c r="C17" s="3" t="s">
        <v>9</v>
      </c>
      <c r="D17" s="23">
        <v>38.4</v>
      </c>
      <c r="E17" s="66" t="s">
        <v>97</v>
      </c>
      <c r="F17" s="67" t="s">
        <v>91</v>
      </c>
      <c r="G17" s="67" t="s">
        <v>106</v>
      </c>
      <c r="H17" s="68" t="s">
        <v>107</v>
      </c>
      <c r="I17" s="67" t="s">
        <v>156</v>
      </c>
      <c r="J17" s="67" t="s">
        <v>157</v>
      </c>
      <c r="K17" s="68" t="s">
        <v>158</v>
      </c>
      <c r="L17">
        <f>IF(ISBLANK(Distance),"",IF(Distance&gt;1000,(Distance-1000)/26+33.0847,(IF(Distance&gt;600,(Distance-600)/28+18.799,(IF(Distance&gt;400,(Distance-400)/30+12.1324,(IF(Distance&gt;200,(Distance-200)/32+5.8824,Distance/34))))))))</f>
        <v>1.1294117647058823</v>
      </c>
      <c r="M17">
        <f t="shared" si="0"/>
        <v>2.92</v>
      </c>
      <c r="N17" s="5">
        <f>IF(ISBLANK(Distance),"",Open_time Control_1+(INT(Open)&amp;":"&amp;IF(ROUND(((Open-INT(Open))*60),0)&lt;10,0,"")&amp;ROUND(((Open-INT(Open))*60),0)))</f>
        <v>4.7222222222222221E-2</v>
      </c>
      <c r="O17" s="5">
        <f>IF(ISBLANK(Distance),"",Open_time Control_1+(INT(Close)&amp;":"&amp;IF(ROUND(((Close-INT(Close))*60),0)&lt;10,0,"")&amp;ROUND(((Close-INT(Close))*60),0)))</f>
        <v>0.12152777777777778</v>
      </c>
    </row>
    <row r="18" spans="2:17" ht="17" customHeight="1" x14ac:dyDescent="0.15">
      <c r="B18" s="72"/>
      <c r="C18" s="3" t="s">
        <v>10</v>
      </c>
      <c r="D18" s="23">
        <v>42.7</v>
      </c>
      <c r="E18" s="66" t="s">
        <v>97</v>
      </c>
      <c r="F18" s="67" t="s">
        <v>91</v>
      </c>
      <c r="G18" s="67" t="s">
        <v>108</v>
      </c>
      <c r="H18" s="68" t="s">
        <v>109</v>
      </c>
      <c r="I18" s="67" t="s">
        <v>146</v>
      </c>
      <c r="J18" s="67" t="s">
        <v>147</v>
      </c>
      <c r="K18" s="68"/>
      <c r="L18">
        <f t="shared" ref="L18:L24" si="1">IF(ISBLANK(Distance),"",IF(Distance&gt;1000,(Distance-1000)/26+33.0847,(IF(Distance&gt;600,(Distance-600)/28+18.799,(IF(Distance&gt;400,(Distance-400)/30+12.1324,(IF(Distance&gt;200,(Distance-200)/32+5.8824,Distance/34))))))))</f>
        <v>1.2558823529411764</v>
      </c>
      <c r="M18">
        <f t="shared" si="0"/>
        <v>3.1350000000000002</v>
      </c>
      <c r="N18" s="5">
        <f>IF(ISBLANK(Distance),"",Open_time Control_1+(INT(Open)&amp;":"&amp;IF(ROUND(((Open-INT(Open))*60),0)&lt;10,0,"")&amp;ROUND(((Open-INT(Open))*60),0)))</f>
        <v>5.2083333333333336E-2</v>
      </c>
      <c r="O18" s="5">
        <f>IF(ISBLANK(Distance),"",Open_time Control_1+(INT(Close)&amp;":"&amp;IF(ROUND(((Close-INT(Close))*60),0)&lt;10,0,"")&amp;ROUND(((Close-INT(Close))*60),0)))</f>
        <v>0.13055555555555556</v>
      </c>
    </row>
    <row r="19" spans="2:17" ht="17" customHeight="1" x14ac:dyDescent="0.15">
      <c r="B19" s="72"/>
      <c r="C19" s="3" t="s">
        <v>11</v>
      </c>
      <c r="D19" s="23">
        <v>52.5</v>
      </c>
      <c r="E19" s="66" t="s">
        <v>98</v>
      </c>
      <c r="F19" s="67" t="s">
        <v>91</v>
      </c>
      <c r="G19" s="67" t="s">
        <v>110</v>
      </c>
      <c r="H19" s="68" t="s">
        <v>111</v>
      </c>
      <c r="I19" s="67" t="s">
        <v>148</v>
      </c>
      <c r="J19" s="67" t="s">
        <v>149</v>
      </c>
      <c r="K19" s="68"/>
      <c r="L19">
        <f t="shared" si="1"/>
        <v>1.5441176470588236</v>
      </c>
      <c r="M19">
        <f t="shared" si="0"/>
        <v>3.625</v>
      </c>
      <c r="N19" s="5">
        <f>IF(ISBLANK(Distance),"",Open_time Control_1+(INT(Open)&amp;":"&amp;IF(ROUND(((Open-INT(Open))*60),0)&lt;10,0,"")&amp;ROUND(((Open-INT(Open))*60),0)))</f>
        <v>6.458333333333334E-2</v>
      </c>
      <c r="O19" s="5">
        <f>IF(ISBLANK(Distance),"",Open_time Control_1+(INT(Close)&amp;":"&amp;IF(ROUND(((Close-INT(Close))*60),0)&lt;10,0,"")&amp;ROUND(((Close-INT(Close))*60),0)))</f>
        <v>0.15138888888888888</v>
      </c>
      <c r="Q19" s="77"/>
    </row>
    <row r="20" spans="2:17" ht="17" customHeight="1" x14ac:dyDescent="0.15">
      <c r="B20" s="72"/>
      <c r="C20" s="3" t="s">
        <v>12</v>
      </c>
      <c r="D20" s="23">
        <v>69.3</v>
      </c>
      <c r="E20" s="66" t="s">
        <v>99</v>
      </c>
      <c r="F20" s="67" t="s">
        <v>91</v>
      </c>
      <c r="G20" s="67" t="s">
        <v>112</v>
      </c>
      <c r="H20" s="68" t="s">
        <v>113</v>
      </c>
      <c r="I20" s="67" t="s">
        <v>150</v>
      </c>
      <c r="J20" s="96" t="s">
        <v>151</v>
      </c>
      <c r="K20" s="68"/>
      <c r="L20">
        <f t="shared" si="1"/>
        <v>2.0382352941176469</v>
      </c>
      <c r="M20">
        <f t="shared" si="0"/>
        <v>4.62</v>
      </c>
      <c r="N20" s="5">
        <f>IF(ISBLANK(Distance),"",Open_time Control_1+(INT(Open)&amp;":"&amp;IF(ROUND(((Open-INT(Open))*60),0)&lt;10,0,"")&amp;ROUND(((Open-INT(Open))*60),0)))</f>
        <v>8.4722222222222213E-2</v>
      </c>
      <c r="O20" s="5">
        <f>IF(ISBLANK(Distance),"",Open_time Control_1+(INT(Close)&amp;":"&amp;IF(ROUND(((Close-INT(Close))*60),0)&lt;10,0,"")&amp;ROUND(((Close-INT(Close))*60),0)))</f>
        <v>0.19236111111111112</v>
      </c>
    </row>
    <row r="21" spans="2:17" ht="17" customHeight="1" x14ac:dyDescent="0.15">
      <c r="B21" s="72"/>
      <c r="C21" s="3" t="s">
        <v>13</v>
      </c>
      <c r="D21" s="23">
        <v>76.7</v>
      </c>
      <c r="E21" s="66" t="s">
        <v>114</v>
      </c>
      <c r="F21" s="67" t="s">
        <v>91</v>
      </c>
      <c r="G21" s="67" t="s">
        <v>116</v>
      </c>
      <c r="H21" s="68" t="s">
        <v>115</v>
      </c>
      <c r="I21" s="67" t="s">
        <v>152</v>
      </c>
      <c r="J21" s="67" t="s">
        <v>153</v>
      </c>
      <c r="K21" s="68"/>
      <c r="L21">
        <f t="shared" si="1"/>
        <v>2.2558823529411764</v>
      </c>
      <c r="M21">
        <f t="shared" si="0"/>
        <v>5.1133333333333333</v>
      </c>
      <c r="N21" s="5">
        <f>IF(ISBLANK(Distance),"",Open_time Control_1+(INT(Open)&amp;":"&amp;IF(ROUND(((Open-INT(Open))*60),0)&lt;10,0,"")&amp;ROUND(((Open-INT(Open))*60),0)))</f>
        <v>9.375E-2</v>
      </c>
      <c r="O21" s="5">
        <f>IF(ISBLANK(Distance),"",Open_time Control_1+(INT(Close)&amp;":"&amp;IF(ROUND(((Close-INT(Close))*60),0)&lt;10,0,"")&amp;ROUND(((Close-INT(Close))*60),0)))</f>
        <v>0.21319444444444444</v>
      </c>
    </row>
    <row r="22" spans="2:17" ht="17" customHeight="1" x14ac:dyDescent="0.15">
      <c r="B22" s="72"/>
      <c r="C22" s="3" t="s">
        <v>14</v>
      </c>
      <c r="D22" s="23">
        <v>103.7</v>
      </c>
      <c r="E22" s="66" t="s">
        <v>117</v>
      </c>
      <c r="F22" s="67" t="s">
        <v>91</v>
      </c>
      <c r="G22" s="67" t="s">
        <v>118</v>
      </c>
      <c r="H22" s="68" t="s">
        <v>119</v>
      </c>
      <c r="I22" s="67" t="s">
        <v>154</v>
      </c>
      <c r="J22" s="67" t="s">
        <v>155</v>
      </c>
      <c r="K22" s="68"/>
      <c r="L22">
        <f t="shared" si="1"/>
        <v>3.0500000000000003</v>
      </c>
      <c r="M22">
        <f t="shared" si="0"/>
        <v>6.9133333333333331</v>
      </c>
      <c r="N22" s="5">
        <f>IF(ISBLANK(Distance),"",Open_time Control_1+(INT(Open)&amp;":"&amp;IF(ROUND(((Open-INT(Open))*60),0)&lt;10,0,"")&amp;ROUND(((Open-INT(Open))*60),0)))</f>
        <v>0.12708333333333333</v>
      </c>
      <c r="O22" s="5">
        <f>IF(ISBLANK(Distance),"",Open_time Control_1+(INT(Close)&amp;":"&amp;IF(ROUND(((Close-INT(Close))*60),0)&lt;10,0,"")&amp;ROUND(((Close-INT(Close))*60),0)))</f>
        <v>0.28819444444444448</v>
      </c>
    </row>
    <row r="23" spans="2:17" ht="17" customHeight="1" x14ac:dyDescent="0.15">
      <c r="B23" s="72"/>
      <c r="C23" s="3" t="s">
        <v>15</v>
      </c>
      <c r="D23" s="23"/>
      <c r="E23" s="66"/>
      <c r="F23" s="67"/>
      <c r="G23" s="67"/>
      <c r="H23" s="68"/>
      <c r="I23" s="67"/>
      <c r="J23" s="67"/>
      <c r="K23" s="68"/>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17" customHeight="1" thickBot="1" x14ac:dyDescent="0.2">
      <c r="B24" s="72"/>
      <c r="C24" s="3" t="s">
        <v>16</v>
      </c>
      <c r="D24" s="47"/>
      <c r="E24" s="69" t="s">
        <v>101</v>
      </c>
      <c r="F24" s="70"/>
      <c r="G24" s="70"/>
      <c r="H24" s="71"/>
      <c r="I24" s="70"/>
      <c r="J24" s="70"/>
      <c r="K24" s="71"/>
      <c r="L24" t="str">
        <f t="shared" si="1"/>
        <v/>
      </c>
      <c r="M24" t="str">
        <f t="shared" si="0"/>
        <v/>
      </c>
      <c r="N24" s="5" t="str">
        <f>IF(ISBLANK(Distance),"",Open_time Control_1+(INT(Open)&amp;":"&amp;IF(ROUND(((Open-INT(Open))*60),0)&lt;10,0,"")&amp;ROUND(((Open-INT(Open))*60),0)))</f>
        <v/>
      </c>
      <c r="O24" s="5" t="str">
        <f>IF(ISBLANK(Distance),"",Open_time Control_1+(INT(Close)&amp;":"&amp;IF(ROUND(((Close-INT(Close))*60),0)&lt;10,0,"")&amp;ROUND(((Close-INT(Close))*60),0)))</f>
        <v/>
      </c>
    </row>
    <row r="25" spans="2:17" ht="7" customHeight="1" thickBot="1" x14ac:dyDescent="0.25">
      <c r="D25" s="56"/>
      <c r="E25" s="57"/>
      <c r="F25" s="58"/>
      <c r="G25" s="58"/>
      <c r="H25" s="58"/>
      <c r="I25" s="58"/>
      <c r="J25" s="58"/>
      <c r="K25" s="59"/>
      <c r="N25" s="5"/>
      <c r="O25" s="5"/>
    </row>
    <row r="26" spans="2:17" ht="14" thickBot="1" x14ac:dyDescent="0.2">
      <c r="D26" s="97" t="s">
        <v>77</v>
      </c>
      <c r="E26" s="98"/>
      <c r="F26" s="98"/>
      <c r="G26" s="98"/>
      <c r="H26" s="98"/>
      <c r="I26" s="106" t="s">
        <v>72</v>
      </c>
      <c r="J26" s="98"/>
      <c r="K26" s="99"/>
    </row>
    <row r="27" spans="2:17" ht="14" thickBot="1" x14ac:dyDescent="0.2">
      <c r="D27" s="6" t="s">
        <v>24</v>
      </c>
      <c r="E27" s="7" t="s">
        <v>25</v>
      </c>
      <c r="F27" s="54" t="s">
        <v>26</v>
      </c>
      <c r="G27" s="54" t="s">
        <v>27</v>
      </c>
      <c r="H27" s="55" t="s">
        <v>28</v>
      </c>
      <c r="I27" s="7" t="s">
        <v>60</v>
      </c>
      <c r="J27" s="7" t="s">
        <v>61</v>
      </c>
      <c r="K27" s="8" t="s">
        <v>62</v>
      </c>
      <c r="L27" t="s">
        <v>3</v>
      </c>
      <c r="M27" t="s">
        <v>4</v>
      </c>
      <c r="N27" t="s">
        <v>5</v>
      </c>
      <c r="O27" t="s">
        <v>6</v>
      </c>
    </row>
    <row r="28" spans="2:17" ht="17" customHeight="1" x14ac:dyDescent="0.15">
      <c r="D28" s="23">
        <v>122</v>
      </c>
      <c r="E28" s="66" t="s">
        <v>100</v>
      </c>
      <c r="F28" s="67" t="s">
        <v>91</v>
      </c>
      <c r="G28" s="67" t="s">
        <v>120</v>
      </c>
      <c r="H28" s="68" t="s">
        <v>121</v>
      </c>
      <c r="I28" s="67" t="s">
        <v>135</v>
      </c>
      <c r="J28" s="67" t="s">
        <v>159</v>
      </c>
      <c r="K28" s="68" t="s">
        <v>160</v>
      </c>
      <c r="L28">
        <f>IF(ISBLANK(D28),"",IF(D28&gt;1000,(D28-1000)/26+33.0847,(IF(D28&gt;600,(D28-600)/28+18.799,(IF(D28&gt;400,(D28-400)/30+12.1324,(IF(D28&gt;200,(D28-200)/32+5.8824,D28/34))))))))</f>
        <v>3.5882352941176472</v>
      </c>
      <c r="M28">
        <f t="shared" ref="M28:M37" si="2">IF(ISBLANK(D28),"",IF((D28=0),1,IF(D28&gt;=brevet,IF(brevet&gt;1200,(brevet-1200)*75/1000+90,Max_time),IF(D28&gt;1200,(D28-1200)*75/1000+90,IF(D28&gt;1000,(D28-1000)/(1000/75)+75,IF(D28&gt;600,(D28-600)/(400/35)+40,IF(D28&lt;=60,D28/20+1,D28/15)))))))</f>
        <v>8.1333333333333329</v>
      </c>
      <c r="N28" s="5">
        <f>IF(ISBLANK(D28),"",Open_time Control_1+(INT(L28)&amp;":"&amp;IF(ROUND(((L28-INT(L28))*60),0)&lt;10,0,"")&amp;ROUND(((L28-INT(L28))*60),0)))</f>
        <v>0.14930555555555555</v>
      </c>
      <c r="O28" s="5">
        <f>IF(ISBLANK(D28),"",Open_time Control_1+(INT(M28)&amp;":"&amp;IF(ROUND(((M28-INT(M28))*60),0)&lt;10,0,"")&amp;ROUND(((M28-INT(M28))*60),0)))</f>
        <v>0.33888888888888885</v>
      </c>
    </row>
    <row r="29" spans="2:17" ht="17" customHeight="1" x14ac:dyDescent="0.15">
      <c r="D29" s="23">
        <v>140.9</v>
      </c>
      <c r="E29" s="66" t="s">
        <v>95</v>
      </c>
      <c r="F29" s="67" t="s">
        <v>91</v>
      </c>
      <c r="G29" s="67" t="s">
        <v>122</v>
      </c>
      <c r="H29" s="68" t="s">
        <v>123</v>
      </c>
      <c r="I29" s="67" t="s">
        <v>137</v>
      </c>
      <c r="J29" s="67" t="s">
        <v>136</v>
      </c>
      <c r="K29" s="68"/>
      <c r="L29">
        <f t="shared" ref="L29:L37" si="3">IF(ISBLANK(D29),"",IF(D29&gt;1000,(D29-1000)/26+33.0847,(IF(D29&gt;600,(D29-600)/28+18.799,(IF(D29&gt;400,(D29-400)/30+12.1324,(IF(D29&gt;200,(D29-200)/32+5.8824,D29/34))))))))</f>
        <v>4.1441176470588239</v>
      </c>
      <c r="M29">
        <f t="shared" si="2"/>
        <v>9.3933333333333344</v>
      </c>
      <c r="N29" s="5">
        <f>IF(ISBLANK(D29),"",Open_time Control_1+(INT(L29)&amp;":"&amp;IF(ROUND(((L29-INT(L29))*60),0)&lt;10,0,"")&amp;ROUND(((L29-INT(L29))*60),0)))</f>
        <v>0.17291666666666669</v>
      </c>
      <c r="O29" s="5">
        <f>IF(ISBLANK(D29),"",Open_time Control_1+(INT(M29)&amp;":"&amp;IF(ROUND(((M29-INT(M29))*60),0)&lt;10,0,"")&amp;ROUND(((M29-INT(M29))*60),0)))</f>
        <v>0.39166666666666666</v>
      </c>
    </row>
    <row r="30" spans="2:17" ht="17" customHeight="1" x14ac:dyDescent="0.15">
      <c r="D30" s="23">
        <v>161.9</v>
      </c>
      <c r="E30" s="66" t="s">
        <v>102</v>
      </c>
      <c r="F30" s="67" t="s">
        <v>91</v>
      </c>
      <c r="G30" s="67" t="s">
        <v>124</v>
      </c>
      <c r="H30" s="68" t="s">
        <v>125</v>
      </c>
      <c r="I30" s="67" t="s">
        <v>138</v>
      </c>
      <c r="J30" s="67" t="s">
        <v>139</v>
      </c>
      <c r="K30" s="68"/>
      <c r="L30">
        <f t="shared" si="3"/>
        <v>4.7617647058823529</v>
      </c>
      <c r="M30">
        <f t="shared" si="2"/>
        <v>10.793333333333333</v>
      </c>
      <c r="N30" s="5">
        <f>IF(ISBLANK(D30),"",Open_time Control_1+(INT(L30)&amp;":"&amp;IF(ROUND(((L30-INT(L30))*60),0)&lt;10,0,"")&amp;ROUND(((L30-INT(L30))*60),0)))</f>
        <v>0.1986111111111111</v>
      </c>
      <c r="O30" s="5">
        <f>IF(ISBLANK(D30),"",Open_time Control_1+(INT(M30)&amp;":"&amp;IF(ROUND(((M30-INT(M30))*60),0)&lt;10,0,"")&amp;ROUND(((M30-INT(M30))*60),0)))</f>
        <v>0.45</v>
      </c>
    </row>
    <row r="31" spans="2:17" ht="17" customHeight="1" x14ac:dyDescent="0.15">
      <c r="D31" s="23">
        <v>186.1</v>
      </c>
      <c r="E31" s="66" t="s">
        <v>95</v>
      </c>
      <c r="F31" s="67" t="s">
        <v>91</v>
      </c>
      <c r="G31" s="67" t="s">
        <v>126</v>
      </c>
      <c r="H31" s="68" t="s">
        <v>127</v>
      </c>
      <c r="I31" s="67" t="s">
        <v>132</v>
      </c>
      <c r="J31" s="67" t="s">
        <v>142</v>
      </c>
      <c r="K31" s="68"/>
      <c r="L31">
        <f t="shared" si="3"/>
        <v>5.473529411764706</v>
      </c>
      <c r="M31">
        <f t="shared" si="2"/>
        <v>12.406666666666666</v>
      </c>
      <c r="N31" s="5">
        <f>IF(ISBLANK(D31),"",Open_time Control_1+(INT(L31)&amp;":"&amp;IF(ROUND(((L31-INT(L31))*60),0)&lt;10,0,"")&amp;ROUND(((L31-INT(L31))*60),0)))</f>
        <v>0.22777777777777777</v>
      </c>
      <c r="O31" s="5">
        <f>IF(ISBLANK(D31),"",Open_time Control_1+(INT(M31)&amp;":"&amp;IF(ROUND(((M31-INT(M31))*60),0)&lt;10,0,"")&amp;ROUND(((M31-INT(M31))*60),0)))</f>
        <v>0.51666666666666672</v>
      </c>
    </row>
    <row r="32" spans="2:17" ht="17" customHeight="1" x14ac:dyDescent="0.15">
      <c r="D32" s="23">
        <v>197.6</v>
      </c>
      <c r="E32" s="66" t="s">
        <v>96</v>
      </c>
      <c r="F32" s="67" t="s">
        <v>91</v>
      </c>
      <c r="G32" s="67" t="s">
        <v>128</v>
      </c>
      <c r="H32" s="68" t="s">
        <v>129</v>
      </c>
      <c r="I32" s="67" t="s">
        <v>140</v>
      </c>
      <c r="J32" s="67" t="s">
        <v>141</v>
      </c>
      <c r="K32" s="68"/>
      <c r="L32">
        <f t="shared" si="3"/>
        <v>5.8117647058823527</v>
      </c>
      <c r="M32">
        <f t="shared" si="2"/>
        <v>13.173333333333334</v>
      </c>
      <c r="N32" s="5">
        <f>IF(ISBLANK(D32),"",Open_time Control_1+(INT(L32)&amp;":"&amp;IF(ROUND(((L32-INT(L32))*60),0)&lt;10,0,"")&amp;ROUND(((L32-INT(L32))*60),0)))</f>
        <v>0.24236111111111111</v>
      </c>
      <c r="O32" s="5">
        <f>IF(ISBLANK(D32),"",Open_time Control_1+(INT(M32)&amp;":"&amp;IF(ROUND(((M32-INT(M32))*60),0)&lt;10,0,"")&amp;ROUND(((M32-INT(M32))*60),0)))</f>
        <v>0.54861111111111105</v>
      </c>
    </row>
    <row r="33" spans="4:15" ht="17" customHeight="1" x14ac:dyDescent="0.15">
      <c r="D33" s="23">
        <v>199</v>
      </c>
      <c r="E33" s="66" t="s">
        <v>96</v>
      </c>
      <c r="F33" s="67" t="s">
        <v>91</v>
      </c>
      <c r="G33" s="67" t="s">
        <v>130</v>
      </c>
      <c r="H33" s="68" t="s">
        <v>131</v>
      </c>
      <c r="I33" s="67" t="s">
        <v>134</v>
      </c>
      <c r="J33" s="67" t="s">
        <v>143</v>
      </c>
      <c r="K33" s="68"/>
      <c r="L33">
        <f t="shared" si="3"/>
        <v>5.8529411764705879</v>
      </c>
      <c r="M33">
        <f t="shared" si="2"/>
        <v>13.266666666666667</v>
      </c>
      <c r="N33" s="5">
        <f>IF(ISBLANK(D33),"",Open_time Control_1+(INT(L33)&amp;":"&amp;IF(ROUND(((L33-INT(L33))*60),0)&lt;10,0,"")&amp;ROUND(((L33-INT(L33))*60),0)))</f>
        <v>0.24374999999999999</v>
      </c>
      <c r="O33" s="5">
        <f>IF(ISBLANK(D33),"",Open_time Control_1+(INT(M33)&amp;":"&amp;IF(ROUND(((M33-INT(M33))*60),0)&lt;10,0,"")&amp;ROUND(((M33-INT(M33))*60),0)))</f>
        <v>0.55277777777777781</v>
      </c>
    </row>
    <row r="34" spans="4:15" ht="17" customHeight="1" x14ac:dyDescent="0.15">
      <c r="D34" s="23">
        <v>201.2</v>
      </c>
      <c r="E34" s="66" t="s">
        <v>96</v>
      </c>
      <c r="F34" s="67" t="s">
        <v>93</v>
      </c>
      <c r="G34" s="67" t="s">
        <v>103</v>
      </c>
      <c r="H34" s="68" t="s">
        <v>104</v>
      </c>
      <c r="I34" s="67" t="s">
        <v>133</v>
      </c>
      <c r="J34" s="96"/>
      <c r="K34" s="68"/>
      <c r="L34">
        <f t="shared" si="3"/>
        <v>5.9198999999999993</v>
      </c>
      <c r="M34">
        <f t="shared" si="2"/>
        <v>13.5</v>
      </c>
      <c r="N34" s="5">
        <f>IF(ISBLANK(D34),"",Open_time Control_1+(INT(L34)&amp;":"&amp;IF(ROUND(((L34-INT(L34))*60),0)&lt;10,0,"")&amp;ROUND(((L34-INT(L34))*60),0)))</f>
        <v>0.24652777777777779</v>
      </c>
      <c r="O34" s="5">
        <f>IF(ISBLANK(D34),"",Open_time Control_1+(INT(M34)&amp;":"&amp;IF(ROUND(((M34-INT(M34))*60),0)&lt;10,0,"")&amp;ROUND(((M34-INT(M34))*60),0)))</f>
        <v>0.5625</v>
      </c>
    </row>
    <row r="35" spans="4:15" ht="17" customHeight="1" x14ac:dyDescent="0.15">
      <c r="D35" s="23"/>
      <c r="E35" s="66"/>
      <c r="F35" s="67"/>
      <c r="G35" s="67"/>
      <c r="H35" s="68"/>
      <c r="I35" s="67"/>
      <c r="J35" s="67"/>
      <c r="K35" s="68"/>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x14ac:dyDescent="0.15">
      <c r="D36" s="23"/>
      <c r="E36" s="66" t="s">
        <v>101</v>
      </c>
      <c r="F36" s="67"/>
      <c r="G36" s="67"/>
      <c r="H36" s="68"/>
      <c r="I36" s="67"/>
      <c r="J36" s="67"/>
      <c r="K36" s="68"/>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17" customHeight="1" thickBot="1" x14ac:dyDescent="0.2">
      <c r="D37" s="47"/>
      <c r="E37" s="69"/>
      <c r="F37" s="70"/>
      <c r="G37" s="70"/>
      <c r="H37" s="71"/>
      <c r="I37" s="70"/>
      <c r="J37" s="70"/>
      <c r="K37" s="71"/>
      <c r="L37" t="str">
        <f t="shared" si="3"/>
        <v/>
      </c>
      <c r="M37" t="str">
        <f t="shared" si="2"/>
        <v/>
      </c>
      <c r="N37" s="5" t="str">
        <f>IF(ISBLANK(D37),"",Open_time Control_1+(INT(L37)&amp;":"&amp;IF(ROUND(((L37-INT(L37))*60),0)&lt;10,0,"")&amp;ROUND(((L37-INT(L37))*60),0)))</f>
        <v/>
      </c>
      <c r="O37" s="5" t="str">
        <f>IF(ISBLANK(D37),"",Open_time Control_1+(INT(M37)&amp;":"&amp;IF(ROUND(((M37-INT(M37))*60),0)&lt;10,0,"")&amp;ROUND(((M37-INT(M37))*60),0)))</f>
        <v/>
      </c>
    </row>
    <row r="38" spans="4:15" ht="7" customHeight="1" thickBot="1" x14ac:dyDescent="0.25">
      <c r="D38" s="56"/>
      <c r="E38" s="57"/>
      <c r="F38" s="58"/>
      <c r="G38" s="58"/>
      <c r="H38" s="58"/>
      <c r="I38" s="58"/>
      <c r="J38" s="58"/>
      <c r="K38" s="59"/>
      <c r="N38" s="5"/>
      <c r="O38" s="5"/>
    </row>
    <row r="39" spans="4:15" ht="14" thickBot="1" x14ac:dyDescent="0.2">
      <c r="D39" s="97" t="s">
        <v>79</v>
      </c>
      <c r="E39" s="98"/>
      <c r="F39" s="98"/>
      <c r="G39" s="98"/>
      <c r="H39" s="98"/>
      <c r="I39" s="97" t="s">
        <v>78</v>
      </c>
      <c r="J39" s="98"/>
      <c r="K39" s="99"/>
    </row>
    <row r="40" spans="4:15" ht="14" thickBot="1" x14ac:dyDescent="0.2">
      <c r="D40" s="6" t="s">
        <v>24</v>
      </c>
      <c r="E40" s="7" t="s">
        <v>25</v>
      </c>
      <c r="F40" s="54" t="s">
        <v>26</v>
      </c>
      <c r="G40" s="54" t="s">
        <v>27</v>
      </c>
      <c r="H40" s="78" t="s">
        <v>28</v>
      </c>
      <c r="I40" s="7" t="s">
        <v>60</v>
      </c>
      <c r="J40" s="7" t="s">
        <v>61</v>
      </c>
      <c r="K40" s="8" t="s">
        <v>62</v>
      </c>
      <c r="L40" t="s">
        <v>3</v>
      </c>
      <c r="M40" t="s">
        <v>4</v>
      </c>
      <c r="N40" t="s">
        <v>5</v>
      </c>
      <c r="O40" t="s">
        <v>6</v>
      </c>
    </row>
    <row r="41" spans="4:15" ht="17" customHeight="1" x14ac:dyDescent="0.15">
      <c r="D41" s="23"/>
      <c r="E41" s="66"/>
      <c r="F41" s="67"/>
      <c r="G41" s="67"/>
      <c r="H41" s="68"/>
      <c r="I41" s="67"/>
      <c r="J41" s="67"/>
      <c r="K41" s="68"/>
      <c r="L41" t="str">
        <f>IF(ISBLANK(D41),"",IF(D41&gt;1000,(D41-1000)/26+33.0847,(IF(D41&gt;600,(D41-600)/28+18.799,(IF(D41&gt;400,(D41-400)/30+12.1324,(IF(D41&gt;200,(D41-200)/32+5.8824,D41/34))))))))</f>
        <v/>
      </c>
      <c r="M41" t="str">
        <f t="shared" ref="M41:M50" si="4">IF(ISBLANK(D41),"",IF((D41=0),1,IF(D41&gt;=brevet,IF(brevet&gt;1200,(brevet-1200)*75/1000+90,Max_time),IF(D41&gt;1200,(D41-1200)*75/1000+90,IF(D41&gt;1000,(D41-1000)/(1000/75)+75,IF(D41&gt;600,(D41-600)/(400/35)+40,IF(D41&lt;=60,D41/20+1,D41/15)))))))</f>
        <v/>
      </c>
      <c r="N41" s="5" t="str">
        <f>IF(ISBLANK(D41),"",Open_time Control_1+(INT(L41)&amp;":"&amp;IF(ROUND(((L41-INT(L41))*60),0)&lt;10,0,"")&amp;ROUND(((L41-INT(L41))*60),0)))</f>
        <v/>
      </c>
      <c r="O41" s="5" t="str">
        <f>IF(ISBLANK(D41),"",Open_time Control_1+(INT(M41)&amp;":"&amp;IF(ROUND(((M41-INT(M41))*60),0)&lt;10,0,"")&amp;ROUND(((M41-INT(M41))*60),0)))</f>
        <v/>
      </c>
    </row>
    <row r="42" spans="4:15" ht="17" customHeight="1" x14ac:dyDescent="0.15">
      <c r="D42" s="23"/>
      <c r="E42" s="66"/>
      <c r="F42" s="67"/>
      <c r="G42" s="67"/>
      <c r="H42" s="68"/>
      <c r="I42" s="67"/>
      <c r="J42" s="67"/>
      <c r="K42" s="68"/>
      <c r="L42" t="str">
        <f t="shared" ref="L42:L50" si="5">IF(ISBLANK(D42),"",IF(D42&gt;1000,(D42-1000)/26+33.0847,(IF(D42&gt;600,(D42-600)/28+18.799,(IF(D42&gt;400,(D42-400)/30+12.1324,(IF(D42&gt;200,(D42-200)/32+5.8824,D42/34))))))))</f>
        <v/>
      </c>
      <c r="M42" t="str">
        <f t="shared" si="4"/>
        <v/>
      </c>
      <c r="N42" s="5" t="str">
        <f>IF(ISBLANK(D42),"",Open_time Control_1+(INT(L42)&amp;":"&amp;IF(ROUND(((L42-INT(L42))*60),0)&lt;10,0,"")&amp;ROUND(((L42-INT(L42))*60),0)))</f>
        <v/>
      </c>
      <c r="O42" s="5" t="str">
        <f>IF(ISBLANK(D42),"",Open_time Control_1+(INT(M42)&amp;":"&amp;IF(ROUND(((M42-INT(M42))*60),0)&lt;10,0,"")&amp;ROUND(((M42-INT(M42))*60),0)))</f>
        <v/>
      </c>
    </row>
    <row r="43" spans="4:15" ht="17" customHeight="1" x14ac:dyDescent="0.15">
      <c r="D43" s="23"/>
      <c r="E43" s="66"/>
      <c r="F43" s="67"/>
      <c r="G43" s="67"/>
      <c r="H43" s="68"/>
      <c r="I43" s="67"/>
      <c r="J43" s="67"/>
      <c r="K43" s="68"/>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7" customHeight="1" x14ac:dyDescent="0.15">
      <c r="D44" s="23"/>
      <c r="E44" s="66"/>
      <c r="F44" s="67"/>
      <c r="G44" s="67"/>
      <c r="H44" s="68"/>
      <c r="I44" s="67"/>
      <c r="J44" s="67"/>
      <c r="K44" s="68"/>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7" customHeight="1" x14ac:dyDescent="0.15">
      <c r="D45" s="23"/>
      <c r="E45" s="66"/>
      <c r="F45" s="67"/>
      <c r="G45" s="67"/>
      <c r="H45" s="68"/>
      <c r="I45" s="67"/>
      <c r="J45" s="67"/>
      <c r="K45" s="68"/>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7" customHeight="1" x14ac:dyDescent="0.15">
      <c r="D46" s="23"/>
      <c r="E46" s="66"/>
      <c r="F46" s="67"/>
      <c r="G46" s="67"/>
      <c r="H46" s="68"/>
      <c r="I46" s="67"/>
      <c r="J46" s="67"/>
      <c r="K46" s="68"/>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7" customHeight="1" x14ac:dyDescent="0.15">
      <c r="D47" s="23"/>
      <c r="E47" s="66"/>
      <c r="F47" s="67"/>
      <c r="G47" s="67"/>
      <c r="H47" s="68"/>
      <c r="I47" s="67"/>
      <c r="J47" s="67"/>
      <c r="K47" s="68"/>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7" customHeight="1" x14ac:dyDescent="0.15">
      <c r="D48" s="23"/>
      <c r="E48" s="66"/>
      <c r="F48" s="67"/>
      <c r="G48" s="67"/>
      <c r="H48" s="68"/>
      <c r="I48" s="67"/>
      <c r="J48" s="67"/>
      <c r="K48" s="68"/>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customHeight="1" x14ac:dyDescent="0.15">
      <c r="D49" s="23"/>
      <c r="E49" s="66"/>
      <c r="F49" s="67"/>
      <c r="G49" s="67"/>
      <c r="H49" s="68"/>
      <c r="I49" s="67"/>
      <c r="J49" s="67"/>
      <c r="K49" s="68"/>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row r="50" spans="4:15" ht="17" customHeight="1" thickBot="1" x14ac:dyDescent="0.2">
      <c r="D50" s="47"/>
      <c r="E50" s="69"/>
      <c r="F50" s="70"/>
      <c r="G50" s="70"/>
      <c r="H50" s="71"/>
      <c r="I50" s="70"/>
      <c r="J50" s="70"/>
      <c r="K50" s="71"/>
      <c r="L50" t="str">
        <f t="shared" si="5"/>
        <v/>
      </c>
      <c r="M50" t="str">
        <f t="shared" si="4"/>
        <v/>
      </c>
      <c r="N50" s="5" t="str">
        <f>IF(ISBLANK(D50),"",Open_time Control_1+(INT(L50)&amp;":"&amp;IF(ROUND(((L50-INT(L50))*60),0)&lt;10,0,"")&amp;ROUND(((L50-INT(L50))*60),0)))</f>
        <v/>
      </c>
      <c r="O50" s="5" t="str">
        <f>IF(ISBLANK(D50),"",Open_time Control_1+(INT(M50)&amp;":"&amp;IF(ROUND(((M50-INT(M50))*60),0)&lt;10,0,"")&amp;ROUND(((M50-INT(M50))*60),0)))</f>
        <v/>
      </c>
    </row>
    <row r="51" spans="4:15" ht="7" customHeight="1" thickBot="1" x14ac:dyDescent="0.25">
      <c r="D51" s="56"/>
      <c r="E51" s="57"/>
      <c r="F51" s="58"/>
      <c r="G51" s="58"/>
      <c r="H51" s="58"/>
      <c r="I51" s="58"/>
      <c r="J51" s="58"/>
      <c r="K51" s="59"/>
      <c r="N51" s="5"/>
      <c r="O51" s="5"/>
    </row>
    <row r="52" spans="4:15" ht="14" thickBot="1" x14ac:dyDescent="0.2">
      <c r="D52" s="97" t="s">
        <v>87</v>
      </c>
      <c r="E52" s="98"/>
      <c r="F52" s="98"/>
      <c r="G52" s="98"/>
      <c r="H52" s="98"/>
      <c r="I52" s="97" t="s">
        <v>88</v>
      </c>
      <c r="J52" s="98"/>
      <c r="K52" s="99"/>
    </row>
    <row r="53" spans="4:15" ht="14" thickBot="1" x14ac:dyDescent="0.2">
      <c r="D53" s="6" t="s">
        <v>24</v>
      </c>
      <c r="E53" s="7" t="s">
        <v>25</v>
      </c>
      <c r="F53" s="54" t="s">
        <v>26</v>
      </c>
      <c r="G53" s="54" t="s">
        <v>27</v>
      </c>
      <c r="H53" s="78" t="s">
        <v>28</v>
      </c>
      <c r="I53" s="7" t="s">
        <v>60</v>
      </c>
      <c r="J53" s="7" t="s">
        <v>61</v>
      </c>
      <c r="K53" s="8" t="s">
        <v>62</v>
      </c>
      <c r="L53" t="s">
        <v>3</v>
      </c>
      <c r="M53" t="s">
        <v>4</v>
      </c>
      <c r="N53" t="s">
        <v>5</v>
      </c>
      <c r="O53" t="s">
        <v>6</v>
      </c>
    </row>
    <row r="54" spans="4:15" ht="17" customHeight="1" x14ac:dyDescent="0.15">
      <c r="D54" s="23"/>
      <c r="E54" s="66"/>
      <c r="F54" s="67"/>
      <c r="G54" s="67"/>
      <c r="H54" s="68"/>
      <c r="I54" s="67"/>
      <c r="J54" s="67"/>
      <c r="K54" s="68"/>
      <c r="L54" t="str">
        <f>IF(ISBLANK(D54),"",IF(D54&gt;1000,(D54-1000)/26+33.0847,(IF(D54&gt;600,(D54-600)/28+18.799,(IF(D54&gt;400,(D54-400)/30+12.1324,(IF(D54&gt;200,(D54-200)/32+5.8824,D54/34))))))))</f>
        <v/>
      </c>
      <c r="M54" t="str">
        <f t="shared" ref="M54:M63" si="6">IF(ISBLANK(D54),"",IF((D54=0),1,IF(D54&gt;=brevet,IF(brevet&gt;1200,(brevet-1200)*75/1000+90,Max_time),IF(D54&gt;1200,(D54-1200)*75/1000+90,IF(D54&gt;1000,(D54-1000)/(1000/75)+75,IF(D54&gt;600,(D54-600)/(400/35)+40,IF(D54&lt;=60,D54/20+1,D54/15)))))))</f>
        <v/>
      </c>
      <c r="N54" s="5" t="str">
        <f>IF(ISBLANK(D54),"",Open_time Control_1+(INT(L54)&amp;":"&amp;IF(ROUND(((L54-INT(L54))*60),0)&lt;10,0,"")&amp;ROUND(((L54-INT(L54))*60),0)))</f>
        <v/>
      </c>
      <c r="O54" s="5" t="str">
        <f>IF(ISBLANK(D54),"",Open_time Control_1+(INT(M54)&amp;":"&amp;IF(ROUND(((M54-INT(M54))*60),0)&lt;10,0,"")&amp;ROUND(((M54-INT(M54))*60),0)))</f>
        <v/>
      </c>
    </row>
    <row r="55" spans="4:15" ht="17" customHeight="1" x14ac:dyDescent="0.15">
      <c r="D55" s="23"/>
      <c r="E55" s="66"/>
      <c r="F55" s="67"/>
      <c r="G55" s="67"/>
      <c r="H55" s="68"/>
      <c r="I55" s="67"/>
      <c r="J55" s="67"/>
      <c r="K55" s="68"/>
      <c r="L55" t="str">
        <f t="shared" ref="L55:L63" si="7">IF(ISBLANK(D55),"",IF(D55&gt;1000,(D55-1000)/26+33.0847,(IF(D55&gt;600,(D55-600)/28+18.799,(IF(D55&gt;400,(D55-400)/30+12.1324,(IF(D55&gt;200,(D55-200)/32+5.8824,D55/34))))))))</f>
        <v/>
      </c>
      <c r="M55" t="str">
        <f t="shared" si="6"/>
        <v/>
      </c>
      <c r="N55" s="5" t="str">
        <f>IF(ISBLANK(D55),"",Open_time Control_1+(INT(L55)&amp;":"&amp;IF(ROUND(((L55-INT(L55))*60),0)&lt;10,0,"")&amp;ROUND(((L55-INT(L55))*60),0)))</f>
        <v/>
      </c>
      <c r="O55" s="5" t="str">
        <f>IF(ISBLANK(D55),"",Open_time Control_1+(INT(M55)&amp;":"&amp;IF(ROUND(((M55-INT(M55))*60),0)&lt;10,0,"")&amp;ROUND(((M55-INT(M55))*60),0)))</f>
        <v/>
      </c>
    </row>
    <row r="56" spans="4:15" ht="17" customHeight="1" x14ac:dyDescent="0.15">
      <c r="D56" s="23"/>
      <c r="E56" s="66"/>
      <c r="F56" s="67"/>
      <c r="G56" s="67"/>
      <c r="H56" s="68"/>
      <c r="I56" s="67"/>
      <c r="J56" s="67"/>
      <c r="K56" s="68"/>
      <c r="L56" t="str">
        <f t="shared" si="7"/>
        <v/>
      </c>
      <c r="M56" t="str">
        <f t="shared" si="6"/>
        <v/>
      </c>
      <c r="N56" s="5" t="str">
        <f>IF(ISBLANK(D56),"",Open_time Control_1+(INT(L56)&amp;":"&amp;IF(ROUND(((L56-INT(L56))*60),0)&lt;10,0,"")&amp;ROUND(((L56-INT(L56))*60),0)))</f>
        <v/>
      </c>
      <c r="O56" s="5" t="str">
        <f>IF(ISBLANK(D56),"",Open_time Control_1+(INT(M56)&amp;":"&amp;IF(ROUND(((M56-INT(M56))*60),0)&lt;10,0,"")&amp;ROUND(((M56-INT(M56))*60),0)))</f>
        <v/>
      </c>
    </row>
    <row r="57" spans="4:15" ht="17" customHeight="1" x14ac:dyDescent="0.15">
      <c r="D57" s="23"/>
      <c r="E57" s="66"/>
      <c r="F57" s="67"/>
      <c r="G57" s="67"/>
      <c r="H57" s="68"/>
      <c r="I57" s="67"/>
      <c r="J57" s="67"/>
      <c r="K57" s="68"/>
      <c r="L57" t="str">
        <f t="shared" si="7"/>
        <v/>
      </c>
      <c r="M57" t="str">
        <f t="shared" si="6"/>
        <v/>
      </c>
      <c r="N57" s="5" t="str">
        <f>IF(ISBLANK(D57),"",Open_time Control_1+(INT(L57)&amp;":"&amp;IF(ROUND(((L57-INT(L57))*60),0)&lt;10,0,"")&amp;ROUND(((L57-INT(L57))*60),0)))</f>
        <v/>
      </c>
      <c r="O57" s="5" t="str">
        <f>IF(ISBLANK(D57),"",Open_time Control_1+(INT(M57)&amp;":"&amp;IF(ROUND(((M57-INT(M57))*60),0)&lt;10,0,"")&amp;ROUND(((M57-INT(M57))*60),0)))</f>
        <v/>
      </c>
    </row>
    <row r="58" spans="4:15" ht="17" customHeight="1" x14ac:dyDescent="0.15">
      <c r="D58" s="23"/>
      <c r="E58" s="66"/>
      <c r="F58" s="67"/>
      <c r="G58" s="67"/>
      <c r="H58" s="68"/>
      <c r="I58" s="67"/>
      <c r="J58" s="67"/>
      <c r="K58" s="68"/>
      <c r="L58" t="str">
        <f t="shared" si="7"/>
        <v/>
      </c>
      <c r="M58" t="str">
        <f t="shared" si="6"/>
        <v/>
      </c>
      <c r="N58" s="5" t="str">
        <f>IF(ISBLANK(D58),"",Open_time Control_1+(INT(L58)&amp;":"&amp;IF(ROUND(((L58-INT(L58))*60),0)&lt;10,0,"")&amp;ROUND(((L58-INT(L58))*60),0)))</f>
        <v/>
      </c>
      <c r="O58" s="5" t="str">
        <f>IF(ISBLANK(D58),"",Open_time Control_1+(INT(M58)&amp;":"&amp;IF(ROUND(((M58-INT(M58))*60),0)&lt;10,0,"")&amp;ROUND(((M58-INT(M58))*60),0)))</f>
        <v/>
      </c>
    </row>
    <row r="59" spans="4:15" ht="17" customHeight="1" x14ac:dyDescent="0.15">
      <c r="D59" s="23"/>
      <c r="E59" s="66"/>
      <c r="F59" s="67"/>
      <c r="G59" s="67"/>
      <c r="H59" s="68"/>
      <c r="I59" s="67"/>
      <c r="J59" s="67"/>
      <c r="K59" s="68"/>
      <c r="L59" t="str">
        <f t="shared" si="7"/>
        <v/>
      </c>
      <c r="M59" t="str">
        <f t="shared" si="6"/>
        <v/>
      </c>
      <c r="N59" s="5" t="str">
        <f>IF(ISBLANK(D59),"",Open_time Control_1+(INT(L59)&amp;":"&amp;IF(ROUND(((L59-INT(L59))*60),0)&lt;10,0,"")&amp;ROUND(((L59-INT(L59))*60),0)))</f>
        <v/>
      </c>
      <c r="O59" s="5" t="str">
        <f>IF(ISBLANK(D59),"",Open_time Control_1+(INT(M59)&amp;":"&amp;IF(ROUND(((M59-INT(M59))*60),0)&lt;10,0,"")&amp;ROUND(((M59-INT(M59))*60),0)))</f>
        <v/>
      </c>
    </row>
    <row r="60" spans="4:15" ht="17" customHeight="1" x14ac:dyDescent="0.15">
      <c r="D60" s="23"/>
      <c r="E60" s="66"/>
      <c r="F60" s="67"/>
      <c r="G60" s="67"/>
      <c r="H60" s="68"/>
      <c r="I60" s="67"/>
      <c r="J60" s="67"/>
      <c r="K60" s="68"/>
      <c r="L60" t="str">
        <f t="shared" si="7"/>
        <v/>
      </c>
      <c r="M60" t="str">
        <f t="shared" si="6"/>
        <v/>
      </c>
      <c r="N60" s="5" t="str">
        <f>IF(ISBLANK(D60),"",Open_time Control_1+(INT(L60)&amp;":"&amp;IF(ROUND(((L60-INT(L60))*60),0)&lt;10,0,"")&amp;ROUND(((L60-INT(L60))*60),0)))</f>
        <v/>
      </c>
      <c r="O60" s="5" t="str">
        <f>IF(ISBLANK(D60),"",Open_time Control_1+(INT(M60)&amp;":"&amp;IF(ROUND(((M60-INT(M60))*60),0)&lt;10,0,"")&amp;ROUND(((M60-INT(M60))*60),0)))</f>
        <v/>
      </c>
    </row>
    <row r="61" spans="4:15" ht="17" customHeight="1" x14ac:dyDescent="0.15">
      <c r="D61" s="23"/>
      <c r="E61" s="66"/>
      <c r="F61" s="67"/>
      <c r="G61" s="67"/>
      <c r="H61" s="68"/>
      <c r="I61" s="67"/>
      <c r="J61" s="67"/>
      <c r="K61" s="68"/>
      <c r="L61" t="str">
        <f t="shared" si="7"/>
        <v/>
      </c>
      <c r="M61" t="str">
        <f t="shared" si="6"/>
        <v/>
      </c>
      <c r="N61" s="5" t="str">
        <f>IF(ISBLANK(D61),"",Open_time Control_1+(INT(L61)&amp;":"&amp;IF(ROUND(((L61-INT(L61))*60),0)&lt;10,0,"")&amp;ROUND(((L61-INT(L61))*60),0)))</f>
        <v/>
      </c>
      <c r="O61" s="5" t="str">
        <f>IF(ISBLANK(D61),"",Open_time Control_1+(INT(M61)&amp;":"&amp;IF(ROUND(((M61-INT(M61))*60),0)&lt;10,0,"")&amp;ROUND(((M61-INT(M61))*60),0)))</f>
        <v/>
      </c>
    </row>
    <row r="62" spans="4:15" ht="17" customHeight="1" x14ac:dyDescent="0.15">
      <c r="D62" s="23"/>
      <c r="E62" s="66"/>
      <c r="F62" s="67"/>
      <c r="G62" s="67"/>
      <c r="H62" s="68"/>
      <c r="I62" s="67"/>
      <c r="J62" s="67"/>
      <c r="K62" s="68"/>
      <c r="L62" t="str">
        <f t="shared" si="7"/>
        <v/>
      </c>
      <c r="M62" t="str">
        <f t="shared" si="6"/>
        <v/>
      </c>
      <c r="N62" s="5" t="str">
        <f>IF(ISBLANK(D62),"",Open_time Control_1+(INT(L62)&amp;":"&amp;IF(ROUND(((L62-INT(L62))*60),0)&lt;10,0,"")&amp;ROUND(((L62-INT(L62))*60),0)))</f>
        <v/>
      </c>
      <c r="O62" s="5" t="str">
        <f>IF(ISBLANK(D62),"",Open_time Control_1+(INT(M62)&amp;":"&amp;IF(ROUND(((M62-INT(M62))*60),0)&lt;10,0,"")&amp;ROUND(((M62-INT(M62))*60),0)))</f>
        <v/>
      </c>
    </row>
    <row r="63" spans="4:15" ht="17" customHeight="1" thickBot="1" x14ac:dyDescent="0.2">
      <c r="D63" s="47"/>
      <c r="E63" s="69"/>
      <c r="F63" s="70"/>
      <c r="G63" s="70"/>
      <c r="H63" s="71"/>
      <c r="I63" s="70"/>
      <c r="J63" s="70"/>
      <c r="K63" s="71"/>
      <c r="L63" t="str">
        <f t="shared" si="7"/>
        <v/>
      </c>
      <c r="M63" t="str">
        <f t="shared" si="6"/>
        <v/>
      </c>
      <c r="N63" s="5" t="str">
        <f>IF(ISBLANK(D63),"",Open_time Control_1+(INT(L63)&amp;":"&amp;IF(ROUND(((L63-INT(L63))*60),0)&lt;10,0,"")&amp;ROUND(((L63-INT(L63))*60),0)))</f>
        <v/>
      </c>
      <c r="O63" s="5" t="str">
        <f>IF(ISBLANK(D63),"",Open_time Control_1+(INT(M63)&amp;":"&amp;IF(ROUND(((M63-INT(M63))*60),0)&lt;10,0,"")&amp;ROUND(((M63-INT(M63))*60),0)))</f>
        <v/>
      </c>
    </row>
  </sheetData>
  <sheetProtection algorithmName="SHA-512" hashValue="sz3elNu4T2SGt0gr11IEu+otL/qDj0+cRQOg5grO+EMS3cvX9jEYQhKlOsnmaW3CfXHAQH4v3+PlV9k/s7BEdw==" saltValue="kLgQi0wha9upuDMg+a1WEA==" spinCount="100000" sheet="1" objects="1" scenarios="1" formatCells="0" selectLockedCells="1"/>
  <mergeCells count="12">
    <mergeCell ref="D52:H52"/>
    <mergeCell ref="I52:K52"/>
    <mergeCell ref="Q1:Z5"/>
    <mergeCell ref="A1:H1"/>
    <mergeCell ref="B8:H8"/>
    <mergeCell ref="D39:H39"/>
    <mergeCell ref="I39:K39"/>
    <mergeCell ref="J6:K6"/>
    <mergeCell ref="D13:H13"/>
    <mergeCell ref="D26:H26"/>
    <mergeCell ref="I13:K13"/>
    <mergeCell ref="I26:K26"/>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abSelected="1" zoomScaleNormal="100"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2" t="s">
        <v>80</v>
      </c>
      <c r="B1" s="122"/>
      <c r="C1" s="122"/>
      <c r="D1" s="122"/>
      <c r="E1" s="122"/>
      <c r="F1" s="122"/>
      <c r="G1" s="122"/>
      <c r="H1" s="24" t="s">
        <v>29</v>
      </c>
    </row>
    <row r="2" spans="1:22" ht="33.75" customHeight="1" thickBot="1" x14ac:dyDescent="0.25">
      <c r="A2" s="65" t="s">
        <v>30</v>
      </c>
      <c r="B2" s="9" t="s">
        <v>3</v>
      </c>
      <c r="C2" s="9" t="s">
        <v>4</v>
      </c>
      <c r="D2" s="9" t="s">
        <v>25</v>
      </c>
      <c r="E2" s="9" t="s">
        <v>31</v>
      </c>
      <c r="F2" s="9" t="s">
        <v>59</v>
      </c>
      <c r="G2" s="65" t="s">
        <v>32</v>
      </c>
      <c r="H2" s="24" t="s">
        <v>29</v>
      </c>
      <c r="K2" s="126" t="s">
        <v>55</v>
      </c>
      <c r="L2" s="126"/>
      <c r="M2" s="126"/>
      <c r="N2" s="126"/>
      <c r="O2" s="126"/>
      <c r="P2" s="126"/>
      <c r="Q2" s="126"/>
      <c r="R2" s="126"/>
      <c r="S2" s="126"/>
      <c r="T2" s="126"/>
      <c r="U2" s="126"/>
    </row>
    <row r="3" spans="1:22" ht="36" customHeight="1" x14ac:dyDescent="0.45">
      <c r="A3" s="25"/>
      <c r="B3" s="26">
        <f>Control_1 Open_time</f>
        <v>0</v>
      </c>
      <c r="C3" s="26">
        <f>Control_1 Close_time</f>
        <v>4.1666666666666664E-2</v>
      </c>
      <c r="D3" s="27"/>
      <c r="E3" s="28" t="str">
        <f>IF(ISBLANK(Control_1 Establishment_1),"",Control_1 Establishment_1)</f>
        <v>STAFFED</v>
      </c>
      <c r="F3" s="84" t="str">
        <f>IF(ISBLANK('Control Entry'!I15),"",'Control Entry'!I15)</f>
        <v/>
      </c>
      <c r="G3" s="85"/>
      <c r="H3" s="24" t="s">
        <v>29</v>
      </c>
      <c r="K3" s="14"/>
      <c r="O3" s="111" t="s">
        <v>33</v>
      </c>
      <c r="P3" s="111"/>
      <c r="Q3" s="111"/>
      <c r="R3" s="111"/>
      <c r="S3" s="75" t="str">
        <f>IF('Control Entry'!D28=0,"","#1")</f>
        <v>#1</v>
      </c>
      <c r="U3" s="38"/>
    </row>
    <row r="4" spans="1:22" ht="36" customHeight="1" x14ac:dyDescent="0.2">
      <c r="A4" s="34">
        <f>IF(ISBLANK(Distance Control_1),"",Control_1 Distance)</f>
        <v>0</v>
      </c>
      <c r="B4" s="35">
        <f>Control_1 Open_time</f>
        <v>0</v>
      </c>
      <c r="C4" s="35">
        <f>Control_1 Close_time</f>
        <v>4.1666666666666664E-2</v>
      </c>
      <c r="D4" s="36" t="str">
        <f>IF(ISBLANK(Locale Control_1),"",Locale Control_1)</f>
        <v>VICTORIA</v>
      </c>
      <c r="E4" s="28" t="str">
        <f>IF(ISBLANK(Control_1 Establishment_2),"",Control_1 Establishment_2)</f>
        <v>BC Indians War Memorial</v>
      </c>
      <c r="F4" s="84" t="str">
        <f>IF(ISBLANK('Control Entry'!J15),"",'Control Entry'!J15)</f>
        <v/>
      </c>
      <c r="G4" s="85"/>
      <c r="H4" s="24" t="s">
        <v>29</v>
      </c>
      <c r="K4" s="14"/>
      <c r="M4" s="108" t="str">
        <f>IF(ISBLANK(brevet),"",brevet&amp;" km Randonnée")</f>
        <v>200 km Randonnée</v>
      </c>
      <c r="N4" s="108"/>
      <c r="O4" s="108"/>
      <c r="P4" s="108"/>
      <c r="Q4" s="108"/>
      <c r="R4" s="108"/>
      <c r="S4" s="108"/>
      <c r="T4" s="108"/>
      <c r="U4" s="39"/>
    </row>
    <row r="5" spans="1:22" ht="36" customHeight="1" thickBot="1" x14ac:dyDescent="0.25">
      <c r="A5" s="29"/>
      <c r="B5" s="30">
        <f>Control_1 Open_time</f>
        <v>0</v>
      </c>
      <c r="C5" s="30">
        <f>Control_1 Close_time</f>
        <v>4.1666666666666664E-2</v>
      </c>
      <c r="D5" s="31"/>
      <c r="E5" s="32" t="str">
        <f>IF(ISBLANK(Control_1 Establishment_3),"",Control_1 Establishment_3)</f>
        <v>Beacon Hill Park</v>
      </c>
      <c r="F5" s="88" t="str">
        <f>IF(ISBLANK('Control Entry'!K15),"",'Control Entry'!K15)</f>
        <v/>
      </c>
      <c r="G5" s="87"/>
      <c r="H5" s="24" t="s">
        <v>29</v>
      </c>
      <c r="K5" s="14"/>
      <c r="M5" s="15"/>
      <c r="N5" s="107" t="s">
        <v>47</v>
      </c>
      <c r="O5" s="107"/>
      <c r="P5" s="52">
        <f>IF(ISBLANK(Brevet_Number),"",Brevet_Number)</f>
        <v>5236</v>
      </c>
      <c r="Q5" s="53"/>
      <c r="R5" s="125" t="str">
        <f>IF(ISBLANK('Control Entry'!$B10),"",'Control Entry'!$B10)</f>
        <v/>
      </c>
      <c r="S5" s="125"/>
      <c r="T5" s="125"/>
      <c r="U5" s="125"/>
      <c r="V5" s="40"/>
    </row>
    <row r="6" spans="1:22" ht="36" customHeight="1" x14ac:dyDescent="0.2">
      <c r="A6" s="25"/>
      <c r="B6" s="26">
        <f>Control_2 Open_time</f>
        <v>2.9861111111111113E-2</v>
      </c>
      <c r="C6" s="26">
        <f>Control_2 Close_time</f>
        <v>9.3055555555555558E-2</v>
      </c>
      <c r="D6" s="33"/>
      <c r="E6" s="28" t="str">
        <f>IF(ISBLANK(Control_2 Establishment_1),"",Control_2 Establishment_1)</f>
        <v>INFORMATION</v>
      </c>
      <c r="F6" s="84" t="str">
        <f>IF(ISBLANK('Control Entry'!I16),"",'Control Entry'!I16)</f>
        <v xml:space="preserve">Sign on right: Lot 12 is </v>
      </c>
      <c r="G6" s="85"/>
      <c r="H6" s="24" t="s">
        <v>29</v>
      </c>
      <c r="K6" s="14"/>
      <c r="L6" s="114" t="str">
        <f>IF(ISBLANK(Brevet_Description),"",Brevet_Description)</f>
        <v>Permanent #232: VI Remembrance Day 2022</v>
      </c>
      <c r="M6" s="114"/>
      <c r="N6" s="114"/>
      <c r="O6" s="114"/>
      <c r="P6" s="114"/>
      <c r="Q6" s="114"/>
      <c r="R6" s="114"/>
      <c r="S6" s="114"/>
      <c r="T6" s="114"/>
      <c r="U6" s="114"/>
    </row>
    <row r="7" spans="1:22" ht="36" customHeight="1" x14ac:dyDescent="0.2">
      <c r="A7" s="34">
        <f>IF(ISBLANK(Distance Control_2),"",Control_2 Distance)</f>
        <v>24.5</v>
      </c>
      <c r="B7" s="35">
        <f>Control_2 Open_time</f>
        <v>2.9861111111111113E-2</v>
      </c>
      <c r="C7" s="35">
        <f>Control_2 Close_time</f>
        <v>9.3055555555555558E-2</v>
      </c>
      <c r="D7" s="36" t="str">
        <f>IF(ISBLANK(Locale Control_2),"",Locale Control_2)</f>
        <v xml:space="preserve">SAANICH </v>
      </c>
      <c r="E7" s="48" t="str">
        <f>IF(ISBLANK(Control_2 Establishment_2),"",Control_2 Establishment_2)</f>
        <v>Historical marker</v>
      </c>
      <c r="F7" s="86" t="str">
        <f>IF(ISBLANK('Control Entry'!J16),"",'Control Entry'!J16)</f>
        <v>The ______Residence</v>
      </c>
      <c r="G7" s="85"/>
      <c r="H7" s="24" t="s">
        <v>29</v>
      </c>
      <c r="J7" s="74"/>
      <c r="L7" s="74"/>
    </row>
    <row r="8" spans="1:22" ht="36" customHeight="1" thickBot="1" x14ac:dyDescent="0.25">
      <c r="A8" s="29"/>
      <c r="B8" s="30">
        <f>Control_2 Open_time</f>
        <v>2.9861111111111113E-2</v>
      </c>
      <c r="C8" s="30">
        <f>Control_2 Close_time</f>
        <v>9.3055555555555558E-2</v>
      </c>
      <c r="D8" s="31"/>
      <c r="E8" s="73" t="str">
        <f>IF(ISBLANK(Control_2 Establishment_3),"",Control_2 Establishment_3)</f>
        <v>Falaise Park</v>
      </c>
      <c r="F8" s="88" t="str">
        <f>IF(ISBLANK('Control Entry'!K16),"",'Control Entry'!K16)</f>
        <v/>
      </c>
      <c r="G8" s="87"/>
      <c r="H8" s="24" t="s">
        <v>29</v>
      </c>
      <c r="J8" s="15" t="s">
        <v>34</v>
      </c>
      <c r="L8" s="127"/>
      <c r="M8" s="127"/>
      <c r="N8" s="127"/>
      <c r="O8" s="127"/>
      <c r="P8" s="127"/>
      <c r="Q8" s="127"/>
      <c r="S8" s="41" t="s">
        <v>46</v>
      </c>
      <c r="T8" s="134"/>
      <c r="U8" s="134"/>
    </row>
    <row r="9" spans="1:22" ht="36" customHeight="1" thickBot="1" x14ac:dyDescent="0.3">
      <c r="A9" s="25"/>
      <c r="B9" s="26">
        <f>Control_3 Open_time</f>
        <v>4.7222222222222221E-2</v>
      </c>
      <c r="C9" s="26">
        <f>Control_3 Close_time</f>
        <v>0.12152777777777778</v>
      </c>
      <c r="D9" s="33"/>
      <c r="E9" s="28" t="str">
        <f>IF(ISBLANK(Control_3 Establishment_1),"",Control_3 Establishment_1)</f>
        <v>INFORMATION</v>
      </c>
      <c r="F9" s="84" t="str">
        <f>IF(ISBLANK('Control Entry'!I17),"",'Control Entry'!I17)</f>
        <v>On Stone house at #300</v>
      </c>
      <c r="G9" s="85"/>
      <c r="H9" s="24" t="s">
        <v>29</v>
      </c>
      <c r="J9" s="15" t="s">
        <v>35</v>
      </c>
      <c r="K9" s="15"/>
      <c r="L9" s="116" t="s">
        <v>54</v>
      </c>
      <c r="M9" s="116"/>
      <c r="N9" s="116"/>
      <c r="O9" s="116"/>
      <c r="P9" s="116"/>
      <c r="Q9" s="116"/>
      <c r="R9" s="116"/>
      <c r="S9" s="116"/>
      <c r="T9" s="116"/>
      <c r="U9" s="116"/>
    </row>
    <row r="10" spans="1:22" ht="36" customHeight="1" thickBot="1" x14ac:dyDescent="0.3">
      <c r="A10" s="34">
        <f>IF(ISBLANK(Distance Control_3),"",Control_3 Distance)</f>
        <v>38.4</v>
      </c>
      <c r="B10" s="35">
        <f>Control_3 Open_time</f>
        <v>4.7222222222222221E-2</v>
      </c>
      <c r="C10" s="35">
        <f>Control_3 Close_time</f>
        <v>0.12152777777777778</v>
      </c>
      <c r="D10" s="36" t="str">
        <f>IF(ISBLANK(Locale Control_3),"",Locale Control_3)</f>
        <v>ESQUIMALT</v>
      </c>
      <c r="E10" s="28" t="str">
        <f>IF(ISBLANK(Control_3 Establishment_2),"",Control_3 Establishment_2)</f>
        <v>DND Stone House</v>
      </c>
      <c r="F10" s="86" t="str">
        <f>IF(ISBLANK('Control Entry'!J17),"",'Control Entry'!J17)</f>
        <v>Number of window panes to the left of the door</v>
      </c>
      <c r="G10" s="85"/>
      <c r="H10" s="24" t="s">
        <v>29</v>
      </c>
      <c r="J10" s="15"/>
      <c r="K10" s="15"/>
      <c r="L10" s="117"/>
      <c r="M10" s="117"/>
      <c r="N10" s="117"/>
      <c r="O10" s="117"/>
      <c r="P10" s="117"/>
      <c r="Q10" s="117"/>
      <c r="R10" s="117"/>
      <c r="S10" s="117"/>
      <c r="T10" s="117"/>
      <c r="U10" s="117"/>
    </row>
    <row r="11" spans="1:22" ht="36" customHeight="1" thickBot="1" x14ac:dyDescent="0.3">
      <c r="A11" s="29"/>
      <c r="B11" s="30">
        <f>Control_3 Open_time</f>
        <v>4.7222222222222221E-2</v>
      </c>
      <c r="C11" s="30">
        <f>Control_3 Close_time</f>
        <v>0.12152777777777778</v>
      </c>
      <c r="D11" s="31"/>
      <c r="E11" s="32" t="str">
        <f>IF(ISBLANK(Control_3 Establishment_3),"",Control_3 Establishment_3)</f>
        <v>300 Victoria View Rd</v>
      </c>
      <c r="F11" s="88" t="str">
        <f>IF(ISBLANK('Control Entry'!K17),"",'Control Entry'!K17)</f>
        <v>___</v>
      </c>
      <c r="G11" s="87"/>
      <c r="H11" s="24" t="s">
        <v>29</v>
      </c>
      <c r="J11" s="15" t="s">
        <v>36</v>
      </c>
      <c r="K11" s="15"/>
      <c r="L11" s="117"/>
      <c r="M11" s="117"/>
      <c r="N11" s="117"/>
      <c r="O11" s="15"/>
      <c r="P11" s="15" t="s">
        <v>37</v>
      </c>
      <c r="Q11" s="15"/>
      <c r="R11" s="15"/>
      <c r="S11" s="121"/>
      <c r="T11" s="121"/>
      <c r="U11" s="121"/>
    </row>
    <row r="12" spans="1:22" ht="36" customHeight="1" thickBot="1" x14ac:dyDescent="0.3">
      <c r="A12" s="25"/>
      <c r="B12" s="26">
        <f>Control_4 Open_time</f>
        <v>5.2083333333333336E-2</v>
      </c>
      <c r="C12" s="26">
        <f>Control_4 Close_time</f>
        <v>0.13055555555555556</v>
      </c>
      <c r="D12" s="33"/>
      <c r="E12" s="28" t="str">
        <f>IF(ISBLANK(Control_4 Establishment_1),"",Control_4 Establishment_1)</f>
        <v>INFORMATION</v>
      </c>
      <c r="F12" s="84" t="str">
        <f>IF(ISBLANK('Control Entry'!I18),"",'Control Entry'!I18)</f>
        <v xml:space="preserve">Sign above Chapel </v>
      </c>
      <c r="G12" s="85"/>
      <c r="H12" s="24" t="s">
        <v>29</v>
      </c>
      <c r="J12" s="15" t="s">
        <v>38</v>
      </c>
      <c r="K12" s="15"/>
      <c r="L12" s="117"/>
      <c r="M12" s="117"/>
      <c r="N12" s="117"/>
      <c r="O12" s="15"/>
      <c r="P12" s="15" t="s">
        <v>39</v>
      </c>
      <c r="Q12" s="15"/>
      <c r="R12" s="15"/>
      <c r="S12" s="121"/>
      <c r="T12" s="121"/>
      <c r="U12" s="121"/>
    </row>
    <row r="13" spans="1:22" ht="36" customHeight="1" thickBot="1" x14ac:dyDescent="0.3">
      <c r="A13" s="34">
        <f>IF(ISBLANK(Distance Control_4),"",Control_4 Distance)</f>
        <v>42.7</v>
      </c>
      <c r="B13" s="35">
        <f>Control_4 Open_time</f>
        <v>5.2083333333333336E-2</v>
      </c>
      <c r="C13" s="35">
        <f>Control_4 Close_time</f>
        <v>0.13055555555555556</v>
      </c>
      <c r="D13" s="36" t="str">
        <f>IF(ISBLANK(Locale Control_4),"",Locale Control_4)</f>
        <v>ESQUIMALT</v>
      </c>
      <c r="E13" s="28" t="str">
        <f>IF(ISBLANK(Control_4 Establishment_2),"",Control_4 Establishment_2)</f>
        <v>God's Acre Cemetary</v>
      </c>
      <c r="F13" s="86" t="str">
        <f>IF(ISBLANK('Control Entry'!J18),"",'Control Entry'!J18)</f>
        <v>Consecrated  July 18__</v>
      </c>
      <c r="G13" s="85"/>
      <c r="H13" s="24" t="s">
        <v>29</v>
      </c>
      <c r="J13" s="15" t="s">
        <v>40</v>
      </c>
      <c r="L13" s="120"/>
      <c r="M13" s="120"/>
      <c r="N13" s="120"/>
      <c r="P13" s="15" t="s">
        <v>41</v>
      </c>
      <c r="Q13" s="15"/>
      <c r="R13" s="124"/>
      <c r="S13" s="124"/>
      <c r="T13" s="124"/>
      <c r="U13" s="124"/>
    </row>
    <row r="14" spans="1:22" ht="36" customHeight="1" thickBot="1" x14ac:dyDescent="0.25">
      <c r="A14" s="29"/>
      <c r="B14" s="30">
        <f>Control_4 Open_time</f>
        <v>5.2083333333333336E-2</v>
      </c>
      <c r="C14" s="30">
        <f>Control_4 Close_time</f>
        <v>0.13055555555555556</v>
      </c>
      <c r="D14" s="31"/>
      <c r="E14" s="32" t="str">
        <f>IF(ISBLANK(Control_4 Establishment_3),"",Control_4 Establishment_3)</f>
        <v>Veteran's Dr</v>
      </c>
      <c r="F14" s="88" t="str">
        <f>IF(ISBLANK('Control Entry'!K18),"",'Control Entry'!K18)</f>
        <v/>
      </c>
      <c r="G14" s="87"/>
      <c r="H14" s="24" t="s">
        <v>29</v>
      </c>
    </row>
    <row r="15" spans="1:22" ht="36" customHeight="1" x14ac:dyDescent="0.2">
      <c r="A15" s="25"/>
      <c r="B15" s="26">
        <f>Control_5 Open_time</f>
        <v>6.458333333333334E-2</v>
      </c>
      <c r="C15" s="26">
        <f>Control_5 Close_time</f>
        <v>0.15138888888888888</v>
      </c>
      <c r="D15" s="33"/>
      <c r="E15" s="28" t="str">
        <f>IF(ISBLANK(Control_5 Establishment_1),"",Control_5 Establishment_1)</f>
        <v>INFORMATION</v>
      </c>
      <c r="F15" s="84" t="str">
        <f>IF(ISBLANK('Control Entry'!I19),"",'Control Entry'!I19)</f>
        <v xml:space="preserve">Plaque at foot of Statue </v>
      </c>
      <c r="G15" s="85"/>
      <c r="H15" s="24" t="s">
        <v>29</v>
      </c>
      <c r="J15" s="15"/>
      <c r="L15" s="113" t="s">
        <v>58</v>
      </c>
      <c r="M15" s="113"/>
      <c r="N15" s="113"/>
      <c r="O15" s="113"/>
      <c r="P15" s="113"/>
      <c r="Q15" s="113"/>
      <c r="R15" s="113"/>
      <c r="S15" s="113"/>
      <c r="T15" s="113"/>
      <c r="U15" s="113"/>
    </row>
    <row r="16" spans="1:22" ht="36" customHeight="1" thickBot="1" x14ac:dyDescent="0.25">
      <c r="A16" s="34">
        <f>IF(ISBLANK(Distance Control_5),"",Control_5 Distance)</f>
        <v>52.5</v>
      </c>
      <c r="B16" s="35">
        <f>Control_5 Open_time</f>
        <v>6.458333333333334E-2</v>
      </c>
      <c r="C16" s="35">
        <f>Control_5 Close_time</f>
        <v>0.15138888888888888</v>
      </c>
      <c r="D16" s="36" t="str">
        <f>IF(ISBLANK(Locale Control_5),"",Locale Control_5)</f>
        <v>LANGFORD</v>
      </c>
      <c r="E16" s="28" t="str">
        <f>IF(ISBLANK(Control_5 Establishment_2),"",Control_5 Establishment_2)</f>
        <v>Veterans Memorial Park</v>
      </c>
      <c r="F16" s="84" t="str">
        <f>IF(ISBLANK('Control Entry'!J19),"",'Control Entry'!J19)</f>
        <v>Erected October __, 2001</v>
      </c>
      <c r="G16" s="85"/>
      <c r="H16" s="24" t="s">
        <v>29</v>
      </c>
      <c r="L16" s="118"/>
      <c r="M16" s="118"/>
      <c r="N16" s="118"/>
      <c r="O16" s="118"/>
      <c r="P16" s="118"/>
      <c r="Q16" s="118"/>
      <c r="R16" s="118"/>
      <c r="S16" s="118"/>
      <c r="T16" s="118"/>
      <c r="U16" s="118"/>
    </row>
    <row r="17" spans="1:22" ht="36" customHeight="1" thickBot="1" x14ac:dyDescent="0.25">
      <c r="A17" s="29"/>
      <c r="B17" s="30">
        <f>Control_5 Open_time</f>
        <v>6.458333333333334E-2</v>
      </c>
      <c r="C17" s="30">
        <f>Control_5 Close_time</f>
        <v>0.15138888888888888</v>
      </c>
      <c r="D17" s="31"/>
      <c r="E17" s="32" t="str">
        <f>IF(ISBLANK(Control_5 Establishment_3),"",Control_5 Establishment_3)</f>
        <v>Aldwyn Rd</v>
      </c>
      <c r="F17" s="88" t="str">
        <f>IF(ISBLANK('Control Entry'!K19),"",'Control Entry'!K19)</f>
        <v/>
      </c>
      <c r="G17" s="87"/>
      <c r="H17" s="24" t="s">
        <v>29</v>
      </c>
    </row>
    <row r="18" spans="1:22" ht="36" customHeight="1" x14ac:dyDescent="0.2">
      <c r="A18" s="25"/>
      <c r="B18" s="26">
        <f>Control_6 Open_time</f>
        <v>8.4722222222222213E-2</v>
      </c>
      <c r="C18" s="26">
        <f>Control_6 Close_time</f>
        <v>0.19236111111111112</v>
      </c>
      <c r="D18" s="33"/>
      <c r="E18" s="28" t="str">
        <f>IF(ISBLANK(Control_6 Establishment_1),"",Control_6 Establishment_1)</f>
        <v>INFORMATION</v>
      </c>
      <c r="F18" s="84" t="str">
        <f>IF(ISBLANK('Control Entry'!I20),"",'Control Entry'!I20)</f>
        <v xml:space="preserve">On Sign on Fence </v>
      </c>
      <c r="G18" s="85"/>
      <c r="H18" s="24" t="s">
        <v>29</v>
      </c>
    </row>
    <row r="19" spans="1:22" ht="36" customHeight="1" x14ac:dyDescent="0.2">
      <c r="A19" s="34">
        <f>IF(ISBLANK(Distance Control_6),"",Control_6 Distance)</f>
        <v>69.3</v>
      </c>
      <c r="B19" s="35">
        <f>Control_6 Open_time</f>
        <v>8.4722222222222213E-2</v>
      </c>
      <c r="C19" s="35">
        <f>Control_6 Close_time</f>
        <v>0.19236111111111112</v>
      </c>
      <c r="D19" s="36" t="str">
        <f>IF(ISBLANK(Locale Control_6),"",Locale Control_6)</f>
        <v>METCHOSIN</v>
      </c>
      <c r="E19" s="28" t="str">
        <f>IF(ISBLANK(Control_6 Establishment_2),"",Control_6 Establishment_2)</f>
        <v>Cadet Training Centre</v>
      </c>
      <c r="F19" s="86" t="str">
        <f>IF(ISBLANK('Control Entry'!J20),"",'Control Entry'!J20)</f>
        <v>By order of ___</v>
      </c>
      <c r="G19" s="85"/>
      <c r="H19" s="24" t="s">
        <v>29</v>
      </c>
    </row>
    <row r="20" spans="1:22" ht="36" customHeight="1" thickBot="1" x14ac:dyDescent="0.25">
      <c r="A20" s="29"/>
      <c r="B20" s="30">
        <f>Control_6 Open_time</f>
        <v>8.4722222222222213E-2</v>
      </c>
      <c r="C20" s="30">
        <f>Control_6 Close_time</f>
        <v>0.19236111111111112</v>
      </c>
      <c r="D20" s="31"/>
      <c r="E20" s="32" t="str">
        <f>IF(ISBLANK(Control_6 Establishment_3),"",Control_6 Establishment_3)</f>
        <v>100 Albert Head Rd</v>
      </c>
      <c r="F20" s="88" t="str">
        <f>IF(ISBLANK('Control Entry'!K20),"",'Control Entry'!K20)</f>
        <v/>
      </c>
      <c r="G20" s="87"/>
      <c r="H20" s="24" t="s">
        <v>29</v>
      </c>
      <c r="J20" s="50" t="s">
        <v>44</v>
      </c>
      <c r="K20" s="50"/>
      <c r="L20" s="135" t="str">
        <f>IF(ISBLANK('Control Entry'!B12),"",'Control Entry'!B12)</f>
        <v/>
      </c>
      <c r="M20" s="135"/>
      <c r="N20" s="135"/>
      <c r="P20" s="15" t="s">
        <v>0</v>
      </c>
      <c r="Q20" s="15"/>
      <c r="S20" s="112">
        <f>IF(ISBLANK('Control Entry'!B13),"",'Control Entry'!B13)</f>
        <v>0</v>
      </c>
      <c r="T20" s="112"/>
      <c r="U20" s="112"/>
    </row>
    <row r="21" spans="1:22" ht="36" customHeight="1" x14ac:dyDescent="0.2">
      <c r="A21" s="25"/>
      <c r="B21" s="26">
        <f>Control_7 Open_time</f>
        <v>9.375E-2</v>
      </c>
      <c r="C21" s="26">
        <f>Control_7 Close_time</f>
        <v>0.21319444444444444</v>
      </c>
      <c r="D21" s="33"/>
      <c r="E21" s="28" t="str">
        <f>IF(ISBLANK(Control_7 Establishment_1),"",Control_7 Establishment_1)</f>
        <v>INFORMATION</v>
      </c>
      <c r="F21" s="84" t="str">
        <f>IF(ISBLANK('Control Entry'!I21),"",'Control Entry'!I21)</f>
        <v xml:space="preserve">On plaque "military college period </v>
      </c>
      <c r="G21" s="85"/>
      <c r="H21" s="24" t="s">
        <v>29</v>
      </c>
      <c r="J21" s="50"/>
      <c r="K21" s="50"/>
      <c r="L21" s="44"/>
      <c r="M21" s="44"/>
      <c r="N21" s="44"/>
      <c r="P21" s="15"/>
      <c r="Q21" s="15"/>
      <c r="S21" s="51"/>
      <c r="T21" s="51"/>
      <c r="U21" s="51"/>
    </row>
    <row r="22" spans="1:22" ht="36" customHeight="1" thickBot="1" x14ac:dyDescent="0.25">
      <c r="A22" s="34">
        <f>IF(ISBLANK(Distance Control_7),"",Control_7 Distance)</f>
        <v>76.7</v>
      </c>
      <c r="B22" s="35">
        <f>Control_7 Open_time</f>
        <v>9.375E-2</v>
      </c>
      <c r="C22" s="35">
        <f>Control_7 Close_time</f>
        <v>0.21319444444444444</v>
      </c>
      <c r="D22" s="36" t="str">
        <f>IF(ISBLANK(Locale Control_7),"",Locale Control_7)</f>
        <v>COLWOOD</v>
      </c>
      <c r="E22" s="28" t="str">
        <f>IF(ISBLANK(Control_7 Establishment_2),"",Control_7 Establishment_2)</f>
        <v>Military College Parade Square</v>
      </c>
      <c r="F22" s="86" t="str">
        <f>IF(ISBLANK('Control Entry'!J21),"",'Control Entry'!J21)</f>
        <v>19__-1995</v>
      </c>
      <c r="G22" s="85"/>
      <c r="H22" s="24" t="s">
        <v>29</v>
      </c>
      <c r="J22" s="50" t="s">
        <v>45</v>
      </c>
      <c r="K22" s="50"/>
      <c r="L22" s="119"/>
      <c r="M22" s="119"/>
      <c r="N22" s="119"/>
      <c r="P22" s="15" t="s">
        <v>1</v>
      </c>
      <c r="Q22" s="15"/>
      <c r="S22" s="115"/>
      <c r="T22" s="115"/>
      <c r="U22" s="115"/>
    </row>
    <row r="23" spans="1:22" ht="36" customHeight="1" thickBot="1" x14ac:dyDescent="0.25">
      <c r="A23" s="29"/>
      <c r="B23" s="30">
        <f>Control_7 Open_time</f>
        <v>9.375E-2</v>
      </c>
      <c r="C23" s="30">
        <f>Control_7 Close_time</f>
        <v>0.21319444444444444</v>
      </c>
      <c r="D23" s="31"/>
      <c r="E23" s="32" t="str">
        <f>IF(ISBLANK(Control_7 Establishment_3),"",Control_7 Establishment_3)</f>
        <v>Royal Roads University</v>
      </c>
      <c r="F23" s="88" t="str">
        <f>IF(ISBLANK('Control Entry'!K21),"",'Control Entry'!K21)</f>
        <v/>
      </c>
      <c r="G23" s="87"/>
      <c r="H23" s="24" t="s">
        <v>29</v>
      </c>
      <c r="J23" s="50"/>
      <c r="K23" s="50"/>
      <c r="L23" s="44"/>
      <c r="M23" s="44"/>
      <c r="N23" s="44"/>
      <c r="P23" s="15"/>
      <c r="Q23" s="15"/>
    </row>
    <row r="24" spans="1:22" ht="36" customHeight="1" thickBot="1" x14ac:dyDescent="0.25">
      <c r="A24" s="25"/>
      <c r="B24" s="26">
        <f>Control_8 Open_time</f>
        <v>0.12708333333333333</v>
      </c>
      <c r="C24" s="26">
        <f>Control_8 Close_time</f>
        <v>0.28819444444444448</v>
      </c>
      <c r="D24" s="33"/>
      <c r="E24" s="28" t="str">
        <f>IF(ISBLANK(Control_8 Establishment_1),"",Control_8 Establishment_1)</f>
        <v>INFORMATION</v>
      </c>
      <c r="F24" s="84" t="str">
        <f>IF(ISBLANK('Control Entry'!I22),"",'Control Entry'!I22)</f>
        <v xml:space="preserve">Plaque on left of Cenotaph </v>
      </c>
      <c r="G24" s="85"/>
      <c r="H24" s="24" t="s">
        <v>29</v>
      </c>
      <c r="J24" s="115"/>
      <c r="K24" s="115"/>
      <c r="L24" s="115"/>
      <c r="M24" s="115"/>
      <c r="N24" s="115"/>
      <c r="P24" s="15" t="s">
        <v>2</v>
      </c>
      <c r="Q24" s="15"/>
      <c r="S24" s="115"/>
      <c r="T24" s="115"/>
      <c r="U24" s="115"/>
    </row>
    <row r="25" spans="1:22" ht="36" customHeight="1" x14ac:dyDescent="0.2">
      <c r="A25" s="34">
        <f>IF(ISBLANK(Distance Control_8),"",Control_8 Distance)</f>
        <v>103.7</v>
      </c>
      <c r="B25" s="35">
        <f>Control_8 Open_time</f>
        <v>0.12708333333333333</v>
      </c>
      <c r="C25" s="35">
        <f>Control_8 Close_time</f>
        <v>0.28819444444444448</v>
      </c>
      <c r="D25" s="36" t="str">
        <f>IF(ISBLANK(Locale Control_8),"",Locale Control_8)</f>
        <v>BRENTWOOD BAY</v>
      </c>
      <c r="E25" s="28" t="str">
        <f>IF(ISBLANK(Control_8 Establishment_2),"",Control_8 Establishment_2)</f>
        <v>Central Saanich Cenotaph</v>
      </c>
      <c r="F25" s="84" t="str">
        <f>IF(ISBLANK('Control Entry'!J22),"",'Control Entry'!J22)</f>
        <v>Year of the Veteran 20__</v>
      </c>
      <c r="G25" s="85"/>
      <c r="H25" s="24" t="s">
        <v>29</v>
      </c>
      <c r="J25" s="110" t="s">
        <v>17</v>
      </c>
      <c r="K25" s="110"/>
      <c r="L25" s="110"/>
      <c r="M25" s="110"/>
      <c r="N25" s="110"/>
      <c r="O25" s="46"/>
      <c r="P25" s="109"/>
      <c r="Q25" s="109"/>
      <c r="R25" s="46"/>
      <c r="S25" s="107"/>
      <c r="T25" s="107"/>
      <c r="U25" s="107"/>
      <c r="V25" s="107"/>
    </row>
    <row r="26" spans="1:22" ht="36" customHeight="1" thickBot="1" x14ac:dyDescent="0.25">
      <c r="A26" s="29"/>
      <c r="B26" s="30">
        <f>Control_8 Open_time</f>
        <v>0.12708333333333333</v>
      </c>
      <c r="C26" s="30">
        <f>Control_8 Close_time</f>
        <v>0.28819444444444448</v>
      </c>
      <c r="D26" s="31"/>
      <c r="E26" s="32" t="str">
        <f>IF(ISBLANK(Control_8 Establishment_3),"",Control_8 Establishment_3)</f>
        <v>Pioneer Park</v>
      </c>
      <c r="F26" s="88" t="str">
        <f>IF(ISBLANK('Control Entry'!K22),"",'Control Entry'!K22)</f>
        <v/>
      </c>
      <c r="G26" s="87"/>
      <c r="H26" s="24" t="s">
        <v>29</v>
      </c>
    </row>
    <row r="27" spans="1:22" ht="36" customHeight="1" x14ac:dyDescent="0.2">
      <c r="A27" s="25"/>
      <c r="B27" s="26" t="str">
        <f>Control_9 Open_time</f>
        <v/>
      </c>
      <c r="C27" s="26" t="str">
        <f>Control_9 Close_time</f>
        <v/>
      </c>
      <c r="D27" s="33"/>
      <c r="E27" s="28" t="str">
        <f>IF(ISBLANK(Control_9 Establishment_1),"",Control_9 Establishment_1)</f>
        <v/>
      </c>
      <c r="F27" s="84" t="str">
        <f>IF(ISBLANK('Control Entry'!I23),"",'Control Entry'!I23)</f>
        <v/>
      </c>
      <c r="G27" s="85"/>
      <c r="H27" s="24" t="s">
        <v>29</v>
      </c>
      <c r="K27" s="108" t="s">
        <v>56</v>
      </c>
      <c r="L27" s="109"/>
      <c r="M27" s="45" t="s">
        <v>57</v>
      </c>
      <c r="N27" s="109" t="s">
        <v>49</v>
      </c>
      <c r="O27" s="109"/>
      <c r="P27" s="109" t="s">
        <v>50</v>
      </c>
      <c r="Q27" s="109"/>
      <c r="R27" s="46" t="s">
        <v>51</v>
      </c>
      <c r="S27" s="107" t="s">
        <v>52</v>
      </c>
      <c r="T27" s="107"/>
      <c r="U27" s="107" t="s">
        <v>53</v>
      </c>
      <c r="V27" s="107"/>
    </row>
    <row r="28" spans="1:22" ht="36" customHeight="1" x14ac:dyDescent="0.2">
      <c r="A28" s="34" t="str">
        <f>IF(ISBLANK(Distance Control_9),"",Control_9 Distance)</f>
        <v/>
      </c>
      <c r="B28" s="35" t="str">
        <f>Control_9 Open_time</f>
        <v/>
      </c>
      <c r="C28" s="35" t="str">
        <f>Control_9 Close_time</f>
        <v/>
      </c>
      <c r="D28" s="36" t="str">
        <f>IF(ISBLANK(Locale Control_9),"",Locale Control_9)</f>
        <v/>
      </c>
      <c r="E28" s="28" t="str">
        <f>IF(ISBLANK(Control_9 Establishment_2),"",Control_9 Establishment_2)</f>
        <v/>
      </c>
      <c r="F28" s="84" t="str">
        <f>IF(ISBLANK('Control Entry'!J23),"",'Control Entry'!J23)</f>
        <v/>
      </c>
      <c r="G28" s="85"/>
      <c r="H28" s="24" t="s">
        <v>29</v>
      </c>
    </row>
    <row r="29" spans="1:22" ht="36" customHeight="1" thickBot="1" x14ac:dyDescent="0.25">
      <c r="A29" s="29"/>
      <c r="B29" s="30" t="str">
        <f>Control_9 Open_time</f>
        <v/>
      </c>
      <c r="C29" s="30" t="str">
        <f>Control_9 Close_time</f>
        <v/>
      </c>
      <c r="D29" s="31"/>
      <c r="E29" s="32" t="str">
        <f>IF(ISBLANK(Control_9 Establishment_3),"",Control_9 Establishment_3)</f>
        <v/>
      </c>
      <c r="F29" s="88" t="str">
        <f>IF(ISBLANK('Control Entry'!K23),"",'Control Entry'!K23)</f>
        <v/>
      </c>
      <c r="G29" s="87"/>
      <c r="H29" s="24" t="s">
        <v>29</v>
      </c>
      <c r="M29" s="136" t="s">
        <v>42</v>
      </c>
      <c r="N29" s="136"/>
      <c r="O29" s="136"/>
      <c r="P29" s="136"/>
      <c r="Q29" s="136"/>
      <c r="R29" s="136"/>
      <c r="S29" s="136"/>
      <c r="T29" s="136"/>
      <c r="U29" s="49"/>
    </row>
    <row r="30" spans="1:22" ht="36" customHeight="1" x14ac:dyDescent="0.2">
      <c r="A30" s="25"/>
      <c r="B30" s="26" t="str">
        <f>Control_10 Open_time</f>
        <v/>
      </c>
      <c r="C30" s="26" t="str">
        <f>Control_10 Close_time</f>
        <v/>
      </c>
      <c r="D30" s="33"/>
      <c r="E30" s="28" t="str">
        <f>IF(ISBLANK(Control_10 Establishment_1),"",Control_10 Establishment_1)</f>
        <v/>
      </c>
      <c r="F30" s="84" t="str">
        <f>IF(ISBLANK('Control Entry'!I24),"",'Control Entry'!I24)</f>
        <v/>
      </c>
      <c r="G30" s="85"/>
      <c r="H30" s="24" t="s">
        <v>29</v>
      </c>
      <c r="M30" s="16"/>
      <c r="N30" s="18"/>
      <c r="O30" s="18"/>
      <c r="P30" s="19"/>
      <c r="Q30" s="16"/>
      <c r="R30" s="18"/>
      <c r="S30" s="18"/>
      <c r="T30" s="19"/>
    </row>
    <row r="31" spans="1:22" ht="36" customHeight="1" x14ac:dyDescent="0.2">
      <c r="A31" s="34" t="str">
        <f>IF(ISBLANK(Distance Control_10),"",Control_10 Distance)</f>
        <v/>
      </c>
      <c r="B31" s="35" t="str">
        <f>Control_10 Open_time</f>
        <v/>
      </c>
      <c r="C31" s="35" t="str">
        <f>Control_10 Close_time</f>
        <v/>
      </c>
      <c r="D31" s="36" t="str">
        <f>IF(ISBLANK(Locale Control_10),"",Locale Control_10)</f>
        <v>SECRET</v>
      </c>
      <c r="E31" s="28" t="str">
        <f>IF(ISBLANK(Control_10 Establishment_2),"",Control_10 Establishment_2)</f>
        <v/>
      </c>
      <c r="F31" s="84" t="str">
        <f>IF(ISBLANK('Control Entry'!J24),"",'Control Entry'!J24)</f>
        <v/>
      </c>
      <c r="G31" s="85"/>
      <c r="H31" s="24" t="s">
        <v>29</v>
      </c>
      <c r="M31" s="17"/>
      <c r="P31" s="20"/>
      <c r="Q31" s="17"/>
      <c r="T31" s="20"/>
    </row>
    <row r="32" spans="1:22" ht="36" customHeight="1" thickBot="1" x14ac:dyDescent="0.25">
      <c r="A32" s="29"/>
      <c r="B32" s="30" t="str">
        <f>Control_10 Open_time</f>
        <v/>
      </c>
      <c r="C32" s="30" t="str">
        <f>Control_10 Close_time</f>
        <v/>
      </c>
      <c r="D32" s="31"/>
      <c r="E32" s="32" t="str">
        <f>IF(ISBLANK(Control_10 Establishment_3),"",Control_10 Establishment_3)</f>
        <v/>
      </c>
      <c r="F32" s="88" t="str">
        <f>IF(ISBLANK('Control Entry'!K24),"",'Control Entry'!K24)</f>
        <v/>
      </c>
      <c r="G32" s="87"/>
      <c r="H32" s="24" t="s">
        <v>29</v>
      </c>
      <c r="M32" s="128" t="s">
        <v>82</v>
      </c>
      <c r="N32" s="129"/>
      <c r="O32" s="129"/>
      <c r="P32" s="130"/>
      <c r="Q32" s="131">
        <f>'Control Entry'!B3</f>
        <v>44700</v>
      </c>
      <c r="R32" s="132"/>
      <c r="S32" s="132"/>
      <c r="T32" s="133"/>
    </row>
    <row r="33" spans="1:22" ht="36" customHeight="1" x14ac:dyDescent="0.2">
      <c r="A33" s="123" t="s">
        <v>43</v>
      </c>
      <c r="B33" s="123"/>
      <c r="C33" s="123"/>
      <c r="D33" s="123"/>
      <c r="E33" s="123"/>
      <c r="F33" s="123"/>
      <c r="G33" s="123"/>
      <c r="H33" s="37"/>
      <c r="I33" s="37"/>
      <c r="M33" s="137" t="s">
        <v>86</v>
      </c>
      <c r="N33" s="138"/>
      <c r="O33" s="138"/>
      <c r="P33" s="138"/>
      <c r="Q33" s="139">
        <f>'Control Entry'!B4</f>
        <v>44870</v>
      </c>
      <c r="R33" s="126"/>
      <c r="S33" s="126"/>
      <c r="T33" s="126"/>
      <c r="V33" s="44"/>
    </row>
    <row r="34" spans="1:22" ht="36" customHeight="1" x14ac:dyDescent="0.2">
      <c r="A34"/>
      <c r="O34" s="15"/>
      <c r="P34" s="15"/>
      <c r="Q34" s="15"/>
      <c r="R34" s="42"/>
    </row>
    <row r="35" spans="1:22" ht="36" customHeight="1" x14ac:dyDescent="0.2">
      <c r="A35"/>
      <c r="N35" s="136"/>
      <c r="O35" s="136"/>
      <c r="P35" s="136"/>
      <c r="Q35" s="136"/>
      <c r="R35" s="136"/>
      <c r="S35" s="136"/>
      <c r="T35" s="136"/>
      <c r="U35" s="136"/>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iDQb38Z5WZp87lXMQAT4xTXeXKPICpVt+wSBVo/dofQxJAYMrgvpXFZDzKlfo5JR1/olCdCIytlMSqpHKz79Wg==" saltValue="3TGUHDVIfOEKM0XlLUm4zg==" spinCount="100000" sheet="1" objects="1" scenarios="1" formatCells="0" selectLockedCells="1"/>
  <mergeCells count="41">
    <mergeCell ref="U25:V25"/>
    <mergeCell ref="N35:U35"/>
    <mergeCell ref="M29:T29"/>
    <mergeCell ref="N27:O27"/>
    <mergeCell ref="P27:Q27"/>
    <mergeCell ref="S27:T27"/>
    <mergeCell ref="U27:V27"/>
    <mergeCell ref="M33:P33"/>
    <mergeCell ref="Q33:T33"/>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 ref="L13:N13"/>
    <mergeCell ref="S11:U11"/>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G7" sqref="G7"/>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2" t="s">
        <v>74</v>
      </c>
      <c r="B1" s="122"/>
      <c r="C1" s="122"/>
      <c r="D1" s="122"/>
      <c r="E1" s="122"/>
      <c r="F1" s="122"/>
      <c r="G1" s="122"/>
      <c r="H1" s="24" t="s">
        <v>29</v>
      </c>
    </row>
    <row r="2" spans="1:22" ht="33.75" customHeight="1" thickBot="1" x14ac:dyDescent="0.25">
      <c r="A2" s="65" t="s">
        <v>30</v>
      </c>
      <c r="B2" s="9" t="s">
        <v>3</v>
      </c>
      <c r="C2" s="9" t="s">
        <v>4</v>
      </c>
      <c r="D2" s="9" t="s">
        <v>25</v>
      </c>
      <c r="E2" s="9" t="s">
        <v>31</v>
      </c>
      <c r="F2" s="9" t="s">
        <v>59</v>
      </c>
      <c r="G2" s="65" t="s">
        <v>32</v>
      </c>
      <c r="H2" s="24" t="s">
        <v>29</v>
      </c>
      <c r="K2" s="126" t="s">
        <v>55</v>
      </c>
      <c r="L2" s="126"/>
      <c r="M2" s="126"/>
      <c r="N2" s="126"/>
      <c r="O2" s="126"/>
      <c r="P2" s="126"/>
      <c r="Q2" s="126"/>
      <c r="R2" s="126"/>
      <c r="S2" s="126"/>
      <c r="T2" s="126"/>
      <c r="U2" s="126"/>
    </row>
    <row r="3" spans="1:22" ht="36" customHeight="1" x14ac:dyDescent="0.45">
      <c r="A3" s="25"/>
      <c r="B3" s="26">
        <f>'Control Entry'!N28</f>
        <v>0.14930555555555555</v>
      </c>
      <c r="C3" s="26">
        <f>'Control Entry'!O28</f>
        <v>0.33888888888888885</v>
      </c>
      <c r="D3" s="27"/>
      <c r="E3" s="28" t="str">
        <f>IF(ISBLANK('Control Entry'!F28),"",'Control Entry'!F28)</f>
        <v>INFORMATION</v>
      </c>
      <c r="F3" s="84" t="str">
        <f>IF(ISBLANK('Control Entry'!I28),"",'Control Entry'!I28)</f>
        <v>Maple Leaf on Ground to the left of Memorial: .</v>
      </c>
      <c r="G3" s="85"/>
      <c r="H3" s="24" t="s">
        <v>29</v>
      </c>
      <c r="K3" s="14"/>
      <c r="O3" s="111" t="s">
        <v>73</v>
      </c>
      <c r="P3" s="111"/>
      <c r="Q3" s="111"/>
      <c r="R3" s="111"/>
      <c r="S3" s="75" t="str">
        <f>IF('Control Entry'!D28=0,"","#2")</f>
        <v>#2</v>
      </c>
      <c r="U3" s="38"/>
    </row>
    <row r="4" spans="1:22" ht="36" customHeight="1" x14ac:dyDescent="0.2">
      <c r="A4" s="34">
        <f>IF(ISBLANK('Control Entry'!D28),"",'Control Entry'!D28)</f>
        <v>122</v>
      </c>
      <c r="B4" s="35">
        <f>'Control Entry'!N28</f>
        <v>0.14930555555555555</v>
      </c>
      <c r="C4" s="35">
        <f>'Control Entry'!O28</f>
        <v>0.33888888888888885</v>
      </c>
      <c r="D4" s="36" t="str">
        <f>IF(ISBLANK('Control Entry'!E28),"",'Control Entry'!E28)</f>
        <v>NORTH SAANICH</v>
      </c>
      <c r="E4" s="28" t="str">
        <f>IF(ISBLANK('Control Entry'!G28),"",'Control Entry'!G28)</f>
        <v>Lt. H Gray VC Memorial</v>
      </c>
      <c r="F4" s="84" t="str">
        <f>IF(ISBLANK('Control Entry'!J28),"",'Control Entry'!J28)</f>
        <v>How many Canadians served on aircraft carriers of the RN Fleet Air Arm"</v>
      </c>
      <c r="G4" s="85"/>
      <c r="H4" s="24" t="s">
        <v>29</v>
      </c>
      <c r="K4" s="14"/>
      <c r="M4" s="108" t="str">
        <f>IF(ISBLANK(brevet),"",brevet&amp;" km Randonnée")</f>
        <v>200 km Randonnée</v>
      </c>
      <c r="N4" s="108"/>
      <c r="O4" s="108"/>
      <c r="P4" s="108"/>
      <c r="Q4" s="108"/>
      <c r="R4" s="108"/>
      <c r="S4" s="108"/>
      <c r="T4" s="108"/>
      <c r="U4" s="39"/>
    </row>
    <row r="5" spans="1:22" ht="36" customHeight="1" thickBot="1" x14ac:dyDescent="0.25">
      <c r="A5" s="29"/>
      <c r="B5" s="30">
        <f>'Control Entry'!N28</f>
        <v>0.14930555555555555</v>
      </c>
      <c r="C5" s="30">
        <f>'Control Entry'!O28</f>
        <v>0.33888888888888885</v>
      </c>
      <c r="D5" s="31"/>
      <c r="E5" s="32" t="str">
        <f>IF(ISBLANK('Control Entry'!H28),"",'Control Entry'!H28)</f>
        <v>BC Aviation Museum</v>
      </c>
      <c r="F5" s="88" t="str">
        <f>IF(ISBLANK('Control Entry'!K28),"",'Control Entry'!K28)</f>
        <v>_____</v>
      </c>
      <c r="G5" s="87"/>
      <c r="H5" s="24" t="s">
        <v>29</v>
      </c>
      <c r="K5" s="14"/>
      <c r="M5" s="15"/>
      <c r="N5" s="107" t="s">
        <v>47</v>
      </c>
      <c r="O5" s="107"/>
      <c r="P5" s="52">
        <f>IF(ISBLANK(Brevet_Number),"",Brevet_Number)</f>
        <v>5236</v>
      </c>
      <c r="Q5" s="53"/>
      <c r="R5" s="125" t="str">
        <f>IF(ISBLANK('Control Entry'!$B10),"",'Control Entry'!$B10)</f>
        <v/>
      </c>
      <c r="S5" s="125"/>
      <c r="T5" s="125"/>
      <c r="U5" s="125"/>
      <c r="V5" s="40"/>
    </row>
    <row r="6" spans="1:22" ht="36" customHeight="1" x14ac:dyDescent="0.2">
      <c r="A6" s="25"/>
      <c r="B6" s="26">
        <f>'Control Entry'!N29</f>
        <v>0.17291666666666669</v>
      </c>
      <c r="C6" s="26">
        <f>'Control Entry'!O29</f>
        <v>0.39166666666666666</v>
      </c>
      <c r="D6" s="33"/>
      <c r="E6" s="28" t="str">
        <f>IF(ISBLANK('Control Entry'!F29),"",'Control Entry'!F29)</f>
        <v>INFORMATION</v>
      </c>
      <c r="F6" s="84" t="str">
        <f>IF(ISBLANK('Control Entry'!I29),"",'Control Entry'!I29)</f>
        <v xml:space="preserve">Plaque on left hand side of granite stone (second paragraph:) </v>
      </c>
      <c r="G6" s="85"/>
      <c r="H6" s="24" t="s">
        <v>29</v>
      </c>
      <c r="K6" s="14"/>
      <c r="L6" s="114" t="str">
        <f>IF(ISBLANK(Brevet_Description),"",Brevet_Description)</f>
        <v>Permanent #232: VI Remembrance Day 2022</v>
      </c>
      <c r="M6" s="114"/>
      <c r="N6" s="114"/>
      <c r="O6" s="114"/>
      <c r="P6" s="114"/>
      <c r="Q6" s="114"/>
      <c r="R6" s="114"/>
      <c r="S6" s="114"/>
      <c r="T6" s="114"/>
      <c r="U6" s="114"/>
    </row>
    <row r="7" spans="1:22" ht="36" customHeight="1" x14ac:dyDescent="0.2">
      <c r="A7" s="34">
        <f>IF(ISBLANK('Control Entry'!D29),"",'Control Entry'!D29)</f>
        <v>140.9</v>
      </c>
      <c r="B7" s="35">
        <f>'Control Entry'!N29</f>
        <v>0.17291666666666669</v>
      </c>
      <c r="C7" s="35">
        <f>'Control Entry'!O29</f>
        <v>0.39166666666666666</v>
      </c>
      <c r="D7" s="36" t="str">
        <f>IF(ISBLANK('Control Entry'!E29),"",'Control Entry'!E29)</f>
        <v xml:space="preserve">SAANICH </v>
      </c>
      <c r="E7" s="28" t="str">
        <f>IF(ISBLANK('Control Entry'!G29),"",'Control Entry'!G29)</f>
        <v>Royal Oak Cenotaph</v>
      </c>
      <c r="F7" s="86" t="str">
        <f>IF(ISBLANK('Control Entry'!J29),"",'Control Entry'!J29)</f>
        <v>How many men and women?__</v>
      </c>
      <c r="G7" s="85"/>
      <c r="H7" s="24" t="s">
        <v>29</v>
      </c>
    </row>
    <row r="8" spans="1:22" ht="36" customHeight="1" thickBot="1" x14ac:dyDescent="0.25">
      <c r="A8" s="29"/>
      <c r="B8" s="30">
        <f>'Control Entry'!N29</f>
        <v>0.17291666666666669</v>
      </c>
      <c r="C8" s="30">
        <f>'Control Entry'!O29</f>
        <v>0.39166666666666666</v>
      </c>
      <c r="D8" s="31"/>
      <c r="E8" s="32" t="str">
        <f>IF(ISBLANK('Control Entry'!H29),"",'Control Entry'!H29)</f>
        <v>Royal Oak Burial Park</v>
      </c>
      <c r="F8" s="88" t="str">
        <f>IF(ISBLANK('Control Entry'!K29),"",'Control Entry'!K29)</f>
        <v/>
      </c>
      <c r="G8" s="87"/>
      <c r="H8" s="24" t="s">
        <v>29</v>
      </c>
      <c r="J8" s="15" t="s">
        <v>34</v>
      </c>
      <c r="L8" s="127"/>
      <c r="M8" s="127"/>
      <c r="N8" s="127"/>
      <c r="O8" s="127"/>
      <c r="P8" s="127"/>
      <c r="Q8" s="127"/>
      <c r="S8" s="41" t="s">
        <v>46</v>
      </c>
      <c r="T8" s="134"/>
      <c r="U8" s="134"/>
    </row>
    <row r="9" spans="1:22" ht="36" customHeight="1" thickBot="1" x14ac:dyDescent="0.3">
      <c r="A9" s="25"/>
      <c r="B9" s="26">
        <f>'Control Entry'!N30</f>
        <v>0.1986111111111111</v>
      </c>
      <c r="C9" s="26">
        <f>'Control Entry'!O30</f>
        <v>0.45</v>
      </c>
      <c r="D9" s="33"/>
      <c r="E9" s="28" t="str">
        <f>IF(ISBLANK('Control Entry'!F30),"",'Control Entry'!F30)</f>
        <v>INFORMATION</v>
      </c>
      <c r="F9" s="84" t="str">
        <f>IF(ISBLANK('Control Entry'!I30),"",'Control Entry'!I30)</f>
        <v>Date on plaque:</v>
      </c>
      <c r="G9" s="85"/>
      <c r="H9" s="24" t="s">
        <v>29</v>
      </c>
      <c r="J9" s="15" t="s">
        <v>35</v>
      </c>
      <c r="K9" s="15"/>
      <c r="L9" s="116" t="s">
        <v>54</v>
      </c>
      <c r="M9" s="116"/>
      <c r="N9" s="116"/>
      <c r="O9" s="116"/>
      <c r="P9" s="116"/>
      <c r="Q9" s="116"/>
      <c r="R9" s="116"/>
      <c r="S9" s="116"/>
      <c r="T9" s="116"/>
      <c r="U9" s="116"/>
    </row>
    <row r="10" spans="1:22" ht="36" customHeight="1" thickBot="1" x14ac:dyDescent="0.3">
      <c r="A10" s="34">
        <f>IF(ISBLANK('Control Entry'!D30),"",'Control Entry'!D30)</f>
        <v>161.9</v>
      </c>
      <c r="B10" s="35">
        <f>'Control Entry'!N30</f>
        <v>0.1986111111111111</v>
      </c>
      <c r="C10" s="35">
        <f>'Control Entry'!O30</f>
        <v>0.45</v>
      </c>
      <c r="D10" s="36" t="str">
        <f>IF(ISBLANK('Control Entry'!E30),"",'Control Entry'!E30)</f>
        <v>SIDNEY</v>
      </c>
      <c r="E10" s="48" t="str">
        <f>IF(ISBLANK('Control Entry'!G30),"",'Control Entry'!G30)</f>
        <v>CAF 'Star of Military' plaque</v>
      </c>
      <c r="F10" s="86" t="str">
        <f>IF(ISBLANK('Control Entry'!J30),"",'Control Entry'!J30)</f>
        <v>June ___,2007</v>
      </c>
      <c r="G10" s="85"/>
      <c r="H10" s="24" t="s">
        <v>29</v>
      </c>
      <c r="J10" s="15"/>
      <c r="K10" s="15"/>
      <c r="L10" s="117"/>
      <c r="M10" s="117"/>
      <c r="N10" s="117"/>
      <c r="O10" s="117"/>
      <c r="P10" s="117"/>
      <c r="Q10" s="117"/>
      <c r="R10" s="117"/>
      <c r="S10" s="117"/>
      <c r="T10" s="117"/>
      <c r="U10" s="117"/>
    </row>
    <row r="11" spans="1:22" ht="36" customHeight="1" thickBot="1" x14ac:dyDescent="0.3">
      <c r="A11" s="29"/>
      <c r="B11" s="30">
        <f>'Control Entry'!N30</f>
        <v>0.1986111111111111</v>
      </c>
      <c r="C11" s="30">
        <f>'Control Entry'!O30</f>
        <v>0.45</v>
      </c>
      <c r="D11" s="31"/>
      <c r="E11" s="32" t="str">
        <f>IF(ISBLANK('Control Entry'!H30),"",'Control Entry'!H30)</f>
        <v>Beacon Park</v>
      </c>
      <c r="F11" s="88" t="str">
        <f>IF(ISBLANK('Control Entry'!K30),"",'Control Entry'!K30)</f>
        <v/>
      </c>
      <c r="G11" s="87"/>
      <c r="H11" s="24" t="s">
        <v>29</v>
      </c>
      <c r="J11" s="15" t="s">
        <v>36</v>
      </c>
      <c r="K11" s="15"/>
      <c r="L11" s="117"/>
      <c r="M11" s="117"/>
      <c r="N11" s="117"/>
      <c r="O11" s="15"/>
      <c r="P11" s="15" t="s">
        <v>37</v>
      </c>
      <c r="Q11" s="15"/>
      <c r="R11" s="15"/>
      <c r="S11" s="121"/>
      <c r="T11" s="121"/>
      <c r="U11" s="121"/>
    </row>
    <row r="12" spans="1:22" ht="36" customHeight="1" thickBot="1" x14ac:dyDescent="0.3">
      <c r="A12" s="25"/>
      <c r="B12" s="26">
        <f>'Control Entry'!N31</f>
        <v>0.22777777777777777</v>
      </c>
      <c r="C12" s="26">
        <f>'Control Entry'!O31</f>
        <v>0.51666666666666672</v>
      </c>
      <c r="D12" s="33"/>
      <c r="E12" s="28" t="str">
        <f>IF(ISBLANK('Control Entry'!F31),"",'Control Entry'!F31)</f>
        <v>INFORMATION</v>
      </c>
      <c r="F12" s="84" t="str">
        <f>IF(ISBLANK('Control Entry'!I31),"",'Control Entry'!I31)</f>
        <v>Year that the plaque was erected</v>
      </c>
      <c r="G12" s="85"/>
      <c r="H12" s="24" t="s">
        <v>29</v>
      </c>
      <c r="J12" s="15" t="s">
        <v>38</v>
      </c>
      <c r="K12" s="15"/>
      <c r="L12" s="117"/>
      <c r="M12" s="117"/>
      <c r="N12" s="117"/>
      <c r="O12" s="15"/>
      <c r="P12" s="15" t="s">
        <v>39</v>
      </c>
      <c r="Q12" s="15"/>
      <c r="R12" s="15"/>
      <c r="S12" s="121"/>
      <c r="T12" s="121"/>
      <c r="U12" s="121"/>
    </row>
    <row r="13" spans="1:22" ht="36" customHeight="1" thickBot="1" x14ac:dyDescent="0.3">
      <c r="A13" s="34">
        <f>IF(ISBLANK('Control Entry'!D31),"",'Control Entry'!D31)</f>
        <v>186.1</v>
      </c>
      <c r="B13" s="35">
        <f>'Control Entry'!N31</f>
        <v>0.22777777777777777</v>
      </c>
      <c r="C13" s="35">
        <f>'Control Entry'!O31</f>
        <v>0.51666666666666672</v>
      </c>
      <c r="D13" s="36" t="str">
        <f>IF(ISBLANK('Control Entry'!E31),"",'Control Entry'!E31)</f>
        <v xml:space="preserve">SAANICH </v>
      </c>
      <c r="E13" s="28" t="str">
        <f>IF(ISBLANK('Control Entry'!G31),"",'Control Entry'!G31)</f>
        <v>Memorial Trees plaque</v>
      </c>
      <c r="F13" s="84" t="str">
        <f>IF(ISBLANK('Control Entry'!J31),"",'Control Entry'!J31)</f>
        <v>19___</v>
      </c>
      <c r="G13" s="85"/>
      <c r="H13" s="24" t="s">
        <v>29</v>
      </c>
      <c r="J13" s="15" t="s">
        <v>40</v>
      </c>
      <c r="L13" s="120"/>
      <c r="M13" s="120"/>
      <c r="N13" s="120"/>
      <c r="P13" s="15" t="s">
        <v>41</v>
      </c>
      <c r="Q13" s="15"/>
      <c r="R13" s="124"/>
      <c r="S13" s="124"/>
      <c r="T13" s="124"/>
      <c r="U13" s="124"/>
    </row>
    <row r="14" spans="1:22" ht="36" customHeight="1" thickBot="1" x14ac:dyDescent="0.25">
      <c r="A14" s="29"/>
      <c r="B14" s="30">
        <f>'Control Entry'!N31</f>
        <v>0.22777777777777777</v>
      </c>
      <c r="C14" s="30">
        <f>'Control Entry'!O31</f>
        <v>0.51666666666666672</v>
      </c>
      <c r="D14" s="31"/>
      <c r="E14" s="32" t="str">
        <f>IF(ISBLANK('Control Entry'!H31),"",'Control Entry'!H31)</f>
        <v>Shelbourne Ave centre median</v>
      </c>
      <c r="F14" s="88" t="str">
        <f>IF(ISBLANK('Control Entry'!K31),"",'Control Entry'!K31)</f>
        <v/>
      </c>
      <c r="G14" s="87"/>
      <c r="H14" s="24" t="s">
        <v>29</v>
      </c>
    </row>
    <row r="15" spans="1:22" ht="36" customHeight="1" x14ac:dyDescent="0.2">
      <c r="A15" s="25"/>
      <c r="B15" s="26">
        <f>'Control Entry'!N32</f>
        <v>0.24236111111111111</v>
      </c>
      <c r="C15" s="26">
        <f>'Control Entry'!O32</f>
        <v>0.54861111111111105</v>
      </c>
      <c r="D15" s="33"/>
      <c r="E15" s="28" t="str">
        <f>IF(ISBLANK('Control Entry'!F32),"",'Control Entry'!F32)</f>
        <v>INFORMATION</v>
      </c>
      <c r="F15" s="84" t="str">
        <f>IF(ISBLANK('Control Entry'!I32),"",'Control Entry'!I32)</f>
        <v xml:space="preserve">Bottom name on right: </v>
      </c>
      <c r="G15" s="85"/>
      <c r="H15" s="24" t="s">
        <v>29</v>
      </c>
      <c r="J15" s="15"/>
      <c r="L15" s="113" t="s">
        <v>58</v>
      </c>
      <c r="M15" s="113"/>
      <c r="N15" s="113"/>
      <c r="O15" s="113"/>
      <c r="P15" s="113"/>
      <c r="Q15" s="113"/>
      <c r="R15" s="113"/>
      <c r="S15" s="113"/>
      <c r="T15" s="113"/>
      <c r="U15" s="113"/>
    </row>
    <row r="16" spans="1:22" ht="36" customHeight="1" thickBot="1" x14ac:dyDescent="0.25">
      <c r="A16" s="34">
        <f>IF(ISBLANK('Control Entry'!D32),"",'Control Entry'!D32)</f>
        <v>197.6</v>
      </c>
      <c r="B16" s="35">
        <f>'Control Entry'!N32</f>
        <v>0.24236111111111111</v>
      </c>
      <c r="C16" s="35">
        <f>'Control Entry'!O32</f>
        <v>0.54861111111111105</v>
      </c>
      <c r="D16" s="36" t="str">
        <f>IF(ISBLANK('Control Entry'!E32),"",'Control Entry'!E32)</f>
        <v>VICTORIA</v>
      </c>
      <c r="E16" s="28" t="str">
        <f>IF(ISBLANK('Control Entry'!G32),"",'Control Entry'!G32)</f>
        <v>Chinese War Memorial</v>
      </c>
      <c r="F16" s="84" t="str">
        <f>IF(ISBLANK('Control Entry'!J32),"",'Control Entry'!J32)</f>
        <v>Yuen,______</v>
      </c>
      <c r="G16" s="85"/>
      <c r="H16" s="24" t="s">
        <v>29</v>
      </c>
      <c r="L16" s="118"/>
      <c r="M16" s="118"/>
      <c r="N16" s="118"/>
      <c r="O16" s="118"/>
      <c r="P16" s="118"/>
      <c r="Q16" s="118"/>
      <c r="R16" s="118"/>
      <c r="S16" s="118"/>
      <c r="T16" s="118"/>
      <c r="U16" s="118"/>
    </row>
    <row r="17" spans="1:22" ht="36" customHeight="1" thickBot="1" x14ac:dyDescent="0.25">
      <c r="A17" s="29"/>
      <c r="B17" s="30">
        <f>'Control Entry'!N32</f>
        <v>0.24236111111111111</v>
      </c>
      <c r="C17" s="30">
        <f>'Control Entry'!O32</f>
        <v>0.54861111111111105</v>
      </c>
      <c r="D17" s="31"/>
      <c r="E17" s="32" t="str">
        <f>IF(ISBLANK('Control Entry'!H32),"",'Control Entry'!H32)</f>
        <v>Gate of Harmonious Interest</v>
      </c>
      <c r="F17" s="88" t="str">
        <f>IF(ISBLANK('Control Entry'!K32),"",'Control Entry'!K32)</f>
        <v/>
      </c>
      <c r="G17" s="87"/>
      <c r="H17" s="24" t="s">
        <v>29</v>
      </c>
    </row>
    <row r="18" spans="1:22" ht="36" customHeight="1" x14ac:dyDescent="0.2">
      <c r="A18" s="25"/>
      <c r="B18" s="26">
        <f>'Control Entry'!N33</f>
        <v>0.24374999999999999</v>
      </c>
      <c r="C18" s="26">
        <f>'Control Entry'!O33</f>
        <v>0.55277777777777781</v>
      </c>
      <c r="D18" s="33"/>
      <c r="E18" s="28" t="str">
        <f>IF(ISBLANK('Control Entry'!F33),"",'Control Entry'!F33)</f>
        <v>INFORMATION</v>
      </c>
      <c r="F18" s="84" t="str">
        <f>IF(ISBLANK('Control Entry'!I33),"",'Control Entry'!I33)</f>
        <v>What is in statue's left hand?</v>
      </c>
      <c r="G18" s="85"/>
      <c r="H18" s="24" t="s">
        <v>29</v>
      </c>
    </row>
    <row r="19" spans="1:22" ht="36" customHeight="1" x14ac:dyDescent="0.2">
      <c r="A19" s="34">
        <f>IF(ISBLANK('Control Entry'!D33),"",'Control Entry'!D33)</f>
        <v>199</v>
      </c>
      <c r="B19" s="35">
        <f>'Control Entry'!N33</f>
        <v>0.24374999999999999</v>
      </c>
      <c r="C19" s="35">
        <f>'Control Entry'!O33</f>
        <v>0.55277777777777781</v>
      </c>
      <c r="D19" s="36" t="str">
        <f>IF(ISBLANK('Control Entry'!E33),"",'Control Entry'!E33)</f>
        <v>VICTORIA</v>
      </c>
      <c r="E19" s="28" t="str">
        <f>IF(ISBLANK('Control Entry'!G33),"",'Control Entry'!G33)</f>
        <v>Spirit of the Republic</v>
      </c>
      <c r="F19" s="84" t="str">
        <f>IF(ISBLANK('Control Entry'!J33),"",'Control Entry'!J33)</f>
        <v>__________</v>
      </c>
      <c r="G19" s="85"/>
      <c r="H19" s="24" t="s">
        <v>29</v>
      </c>
    </row>
    <row r="20" spans="1:22" ht="36" customHeight="1" thickBot="1" x14ac:dyDescent="0.25">
      <c r="A20" s="29"/>
      <c r="B20" s="30">
        <f>'Control Entry'!N33</f>
        <v>0.24374999999999999</v>
      </c>
      <c r="C20" s="30">
        <f>'Control Entry'!O33</f>
        <v>0.55277777777777781</v>
      </c>
      <c r="D20" s="31"/>
      <c r="E20" s="32" t="str">
        <f>IF(ISBLANK('Control Entry'!H33),"",'Control Entry'!H33)</f>
        <v>Confederation Garden Court</v>
      </c>
      <c r="F20" s="88" t="str">
        <f>IF(ISBLANK('Control Entry'!K33),"",'Control Entry'!K33)</f>
        <v/>
      </c>
      <c r="G20" s="87"/>
      <c r="H20" s="24" t="s">
        <v>29</v>
      </c>
      <c r="J20" s="50" t="s">
        <v>44</v>
      </c>
      <c r="K20" s="50"/>
      <c r="L20" s="140" t="str">
        <f>IF(ISBLANK('Control Entry'!B12),"",'Control Entry'!B12)</f>
        <v/>
      </c>
      <c r="M20" s="140"/>
      <c r="N20" s="140"/>
      <c r="P20" s="15" t="s">
        <v>0</v>
      </c>
      <c r="Q20" s="15"/>
      <c r="S20" s="112">
        <f>IF(ISBLANK('Control Entry'!B13),"",'Control Entry'!B13)</f>
        <v>0</v>
      </c>
      <c r="T20" s="112"/>
      <c r="U20" s="112"/>
    </row>
    <row r="21" spans="1:22" ht="36" customHeight="1" x14ac:dyDescent="0.2">
      <c r="A21" s="25"/>
      <c r="B21" s="26">
        <f>'Control Entry'!N34</f>
        <v>0.24652777777777779</v>
      </c>
      <c r="C21" s="26">
        <f>'Control Entry'!O34</f>
        <v>0.5625</v>
      </c>
      <c r="D21" s="33"/>
      <c r="E21" s="28" t="str">
        <f>IF(ISBLANK('Control Entry'!F34),"",'Control Entry'!F34)</f>
        <v>SELF CHECK</v>
      </c>
      <c r="F21" s="84" t="str">
        <f>IF(ISBLANK('Control Entry'!I34),"",'Control Entry'!I34)</f>
        <v>Take selfie at  totem pole or send GPS track ie: Strava</v>
      </c>
      <c r="G21" s="85"/>
      <c r="H21" s="24" t="s">
        <v>29</v>
      </c>
      <c r="J21" s="114" t="s">
        <v>90</v>
      </c>
      <c r="K21" s="114"/>
      <c r="L21" s="114"/>
      <c r="M21" s="114"/>
      <c r="N21" s="114"/>
      <c r="O21" s="114"/>
      <c r="P21" s="114"/>
      <c r="Q21" s="114"/>
      <c r="R21" s="114"/>
      <c r="S21" s="114"/>
      <c r="T21" s="114"/>
      <c r="U21" s="114"/>
    </row>
    <row r="22" spans="1:22" ht="36" customHeight="1" thickBot="1" x14ac:dyDescent="0.25">
      <c r="A22" s="34">
        <f>IF(ISBLANK('Control Entry'!D34),"",'Control Entry'!D34)</f>
        <v>201.2</v>
      </c>
      <c r="B22" s="35">
        <f>'Control Entry'!N34</f>
        <v>0.24652777777777779</v>
      </c>
      <c r="C22" s="35">
        <f>'Control Entry'!O34</f>
        <v>0.5625</v>
      </c>
      <c r="D22" s="36" t="str">
        <f>IF(ISBLANK('Control Entry'!E34),"",'Control Entry'!E34)</f>
        <v>VICTORIA</v>
      </c>
      <c r="E22" s="28" t="str">
        <f>IF(ISBLANK('Control Entry'!G34),"",'Control Entry'!G34)</f>
        <v>BC Indians War Memorial</v>
      </c>
      <c r="F22" s="84" t="str">
        <f>IF(ISBLANK('Control Entry'!J34),"",'Control Entry'!J34)</f>
        <v/>
      </c>
      <c r="G22" s="85"/>
      <c r="H22" s="24" t="s">
        <v>29</v>
      </c>
      <c r="J22" s="50" t="s">
        <v>45</v>
      </c>
      <c r="K22" s="50"/>
      <c r="L22" s="119"/>
      <c r="M22" s="119"/>
      <c r="N22" s="119"/>
      <c r="P22" s="15" t="s">
        <v>1</v>
      </c>
      <c r="Q22" s="15"/>
      <c r="S22" s="115"/>
      <c r="T22" s="115"/>
      <c r="U22" s="115"/>
    </row>
    <row r="23" spans="1:22" ht="36" customHeight="1" thickBot="1" x14ac:dyDescent="0.25">
      <c r="A23" s="29"/>
      <c r="B23" s="30">
        <f>'Control Entry'!N34</f>
        <v>0.24652777777777779</v>
      </c>
      <c r="C23" s="30">
        <f>'Control Entry'!O34</f>
        <v>0.5625</v>
      </c>
      <c r="D23" s="31"/>
      <c r="E23" s="32" t="str">
        <f>IF(ISBLANK('Control Entry'!H34),"",'Control Entry'!H34)</f>
        <v>Beacon Hill Park</v>
      </c>
      <c r="F23" s="88" t="str">
        <f>IF(ISBLANK('Control Entry'!K34),"",'Control Entry'!K34)</f>
        <v/>
      </c>
      <c r="G23" s="87"/>
      <c r="H23" s="24" t="s">
        <v>29</v>
      </c>
      <c r="J23" s="50"/>
      <c r="K23" s="50"/>
      <c r="L23" s="44"/>
      <c r="M23" s="44"/>
      <c r="N23" s="44"/>
      <c r="P23" s="15"/>
      <c r="Q23" s="15"/>
    </row>
    <row r="24" spans="1:22" ht="36" customHeight="1" thickBot="1" x14ac:dyDescent="0.25">
      <c r="A24" s="25"/>
      <c r="B24" s="26" t="str">
        <f>'Control Entry'!N35</f>
        <v/>
      </c>
      <c r="C24" s="26" t="str">
        <f>'Control Entry'!O35</f>
        <v/>
      </c>
      <c r="D24" s="33"/>
      <c r="E24" s="28" t="str">
        <f>IF(ISBLANK('Control Entry'!F35),"",'Control Entry'!F35)</f>
        <v/>
      </c>
      <c r="F24" s="84" t="str">
        <f>IF(ISBLANK('Control Entry'!I35),"",'Control Entry'!I35)</f>
        <v/>
      </c>
      <c r="G24" s="85"/>
      <c r="H24" s="24" t="s">
        <v>29</v>
      </c>
      <c r="J24" s="115"/>
      <c r="K24" s="115"/>
      <c r="L24" s="115"/>
      <c r="M24" s="115"/>
      <c r="N24" s="115"/>
      <c r="P24" s="15" t="s">
        <v>2</v>
      </c>
      <c r="Q24" s="15"/>
      <c r="S24" s="115"/>
      <c r="T24" s="115"/>
      <c r="U24" s="115"/>
    </row>
    <row r="25" spans="1:22" ht="36" customHeight="1" x14ac:dyDescent="0.2">
      <c r="A25" s="34" t="str">
        <f>IF(ISBLANK('Control Entry'!D35),"",'Control Entry'!D35)</f>
        <v/>
      </c>
      <c r="B25" s="35" t="str">
        <f>'Control Entry'!N35</f>
        <v/>
      </c>
      <c r="C25" s="35" t="str">
        <f>'Control Entry'!O35</f>
        <v/>
      </c>
      <c r="D25" s="36" t="str">
        <f>IF(ISBLANK('Control Entry'!E35),"",'Control Entry'!E35)</f>
        <v/>
      </c>
      <c r="E25" s="28" t="str">
        <f>IF(ISBLANK('Control Entry'!G35),"",'Control Entry'!G35)</f>
        <v/>
      </c>
      <c r="F25" s="84" t="str">
        <f>IF(ISBLANK('Control Entry'!J35),"",'Control Entry'!J35)</f>
        <v/>
      </c>
      <c r="G25" s="85"/>
      <c r="H25" s="24" t="s">
        <v>29</v>
      </c>
      <c r="J25" s="110" t="s">
        <v>17</v>
      </c>
      <c r="K25" s="110"/>
      <c r="L25" s="110"/>
      <c r="M25" s="110"/>
      <c r="N25" s="110"/>
      <c r="O25" s="46"/>
      <c r="P25" s="109"/>
      <c r="Q25" s="109"/>
      <c r="R25" s="46"/>
      <c r="S25" s="107"/>
      <c r="T25" s="107"/>
      <c r="U25" s="107"/>
      <c r="V25" s="107"/>
    </row>
    <row r="26" spans="1:22" ht="36" customHeight="1" thickBot="1" x14ac:dyDescent="0.25">
      <c r="A26" s="29"/>
      <c r="B26" s="30" t="str">
        <f>'Control Entry'!N35</f>
        <v/>
      </c>
      <c r="C26" s="30" t="str">
        <f>'Control Entry'!O35</f>
        <v/>
      </c>
      <c r="D26" s="31"/>
      <c r="E26" s="32" t="str">
        <f>IF(ISBLANK('Control Entry'!H35),"",'Control Entry'!H35)</f>
        <v/>
      </c>
      <c r="F26" s="88" t="str">
        <f>IF(ISBLANK('Control Entry'!K35),"",'Control Entry'!K35)</f>
        <v/>
      </c>
      <c r="G26" s="87"/>
      <c r="H26" s="24" t="s">
        <v>29</v>
      </c>
    </row>
    <row r="27" spans="1:22" ht="36" customHeight="1" x14ac:dyDescent="0.2">
      <c r="A27" s="25"/>
      <c r="B27" s="26" t="str">
        <f>'Control Entry'!N36</f>
        <v/>
      </c>
      <c r="C27" s="26" t="str">
        <f>'Control Entry'!O36</f>
        <v/>
      </c>
      <c r="D27" s="33"/>
      <c r="E27" s="28" t="str">
        <f>IF(ISBLANK('Control Entry'!F36),"",'Control Entry'!F36)</f>
        <v/>
      </c>
      <c r="F27" s="84" t="str">
        <f>IF(ISBLANK('Control Entry'!I36),"",'Control Entry'!I36)</f>
        <v/>
      </c>
      <c r="G27" s="85"/>
      <c r="H27" s="24" t="s">
        <v>29</v>
      </c>
      <c r="K27" s="108" t="s">
        <v>56</v>
      </c>
      <c r="L27" s="109"/>
      <c r="M27" s="45" t="s">
        <v>57</v>
      </c>
      <c r="N27" s="109" t="s">
        <v>49</v>
      </c>
      <c r="O27" s="109"/>
      <c r="P27" s="109" t="s">
        <v>50</v>
      </c>
      <c r="Q27" s="109"/>
      <c r="R27" s="46" t="s">
        <v>51</v>
      </c>
      <c r="S27" s="107" t="s">
        <v>52</v>
      </c>
      <c r="T27" s="107"/>
      <c r="U27" s="107" t="s">
        <v>53</v>
      </c>
      <c r="V27" s="107"/>
    </row>
    <row r="28" spans="1:22" ht="36" customHeight="1" x14ac:dyDescent="0.2">
      <c r="A28" s="34" t="str">
        <f>IF(ISBLANK('Control Entry'!D36),"",'Control Entry'!D36)</f>
        <v/>
      </c>
      <c r="B28" s="35" t="str">
        <f>'Control Entry'!N36</f>
        <v/>
      </c>
      <c r="C28" s="35" t="str">
        <f>'Control Entry'!O36</f>
        <v/>
      </c>
      <c r="D28" s="36" t="str">
        <f>IF(ISBLANK('Control Entry'!E36),"",'Control Entry'!E36)</f>
        <v>SECRET</v>
      </c>
      <c r="E28" s="28" t="str">
        <f>IF(ISBLANK('Control Entry'!G36),"",'Control Entry'!G36)</f>
        <v/>
      </c>
      <c r="F28" s="84" t="str">
        <f>IF(ISBLANK('Control Entry'!J36),"",'Control Entry'!J36)</f>
        <v/>
      </c>
      <c r="G28" s="85"/>
      <c r="H28" s="24" t="s">
        <v>29</v>
      </c>
    </row>
    <row r="29" spans="1:22" ht="36" customHeight="1" thickBot="1" x14ac:dyDescent="0.25">
      <c r="A29" s="29"/>
      <c r="B29" s="30" t="str">
        <f>'Control Entry'!N36</f>
        <v/>
      </c>
      <c r="C29" s="30" t="str">
        <f>'Control Entry'!O36</f>
        <v/>
      </c>
      <c r="D29" s="31"/>
      <c r="E29" s="32" t="str">
        <f>IF(ISBLANK('Control Entry'!H36),"",'Control Entry'!H36)</f>
        <v/>
      </c>
      <c r="F29" s="88" t="str">
        <f>IF(ISBLANK('Control Entry'!K36),"",'Control Entry'!K36)</f>
        <v/>
      </c>
      <c r="G29" s="87"/>
      <c r="H29" s="24" t="s">
        <v>29</v>
      </c>
      <c r="M29" s="136" t="s">
        <v>42</v>
      </c>
      <c r="N29" s="136"/>
      <c r="O29" s="136"/>
      <c r="P29" s="136"/>
      <c r="Q29" s="136"/>
      <c r="R29" s="136"/>
      <c r="S29" s="136"/>
      <c r="T29" s="136"/>
      <c r="U29" s="49"/>
    </row>
    <row r="30" spans="1:22" ht="36" customHeight="1" x14ac:dyDescent="0.2">
      <c r="A30" s="25"/>
      <c r="B30" s="26" t="str">
        <f>'Control Entry'!N37</f>
        <v/>
      </c>
      <c r="C30" s="26" t="str">
        <f>'Control Entry'!O37</f>
        <v/>
      </c>
      <c r="D30" s="33"/>
      <c r="E30" s="28" t="str">
        <f>IF(ISBLANK('Control Entry'!F37),"",'Control Entry'!F37)</f>
        <v/>
      </c>
      <c r="F30" s="84" t="str">
        <f>IF(ISBLANK('Control Entry'!I37),"",'Control Entry'!I37)</f>
        <v/>
      </c>
      <c r="G30" s="85"/>
      <c r="H30" s="24" t="s">
        <v>29</v>
      </c>
      <c r="M30" s="16"/>
      <c r="N30" s="18"/>
      <c r="O30" s="18"/>
      <c r="P30" s="19"/>
      <c r="Q30" s="16"/>
      <c r="R30" s="18"/>
      <c r="S30" s="18"/>
      <c r="T30" s="19"/>
    </row>
    <row r="31" spans="1:22" ht="36" customHeight="1" x14ac:dyDescent="0.2">
      <c r="A31" s="34" t="str">
        <f>IF(ISBLANK('Control Entry'!D37),"",'Control Entry'!D37)</f>
        <v/>
      </c>
      <c r="B31" s="35" t="str">
        <f>'Control Entry'!N37</f>
        <v/>
      </c>
      <c r="C31" s="35" t="str">
        <f>'Control Entry'!O37</f>
        <v/>
      </c>
      <c r="D31" s="36" t="str">
        <f>IF(ISBLANK('Control Entry'!E37),"",'Control Entry'!E37)</f>
        <v/>
      </c>
      <c r="E31" s="28" t="str">
        <f>IF(ISBLANK('Control Entry'!G37),"",'Control Entry'!G37)</f>
        <v/>
      </c>
      <c r="F31" s="84" t="str">
        <f>IF(ISBLANK('Control Entry'!J37),"",'Control Entry'!J37)</f>
        <v/>
      </c>
      <c r="G31" s="85"/>
      <c r="H31" s="24" t="s">
        <v>29</v>
      </c>
      <c r="M31" s="17"/>
      <c r="P31" s="20"/>
      <c r="Q31" s="17"/>
      <c r="T31" s="20"/>
    </row>
    <row r="32" spans="1:22" ht="36" customHeight="1" thickBot="1" x14ac:dyDescent="0.25">
      <c r="A32" s="29"/>
      <c r="B32" s="30" t="str">
        <f>'Control Entry'!N37</f>
        <v/>
      </c>
      <c r="C32" s="30" t="str">
        <f>'Control Entry'!O37</f>
        <v/>
      </c>
      <c r="D32" s="31"/>
      <c r="E32" s="32" t="str">
        <f>IF(ISBLANK('Control Entry'!H37),"",'Control Entry'!H37)</f>
        <v/>
      </c>
      <c r="F32" s="88" t="str">
        <f>IF(ISBLANK('Control Entry'!K37),"",'Control Entry'!K37)</f>
        <v/>
      </c>
      <c r="G32" s="87"/>
      <c r="H32" s="24" t="s">
        <v>29</v>
      </c>
      <c r="M32" s="128" t="s">
        <v>82</v>
      </c>
      <c r="N32" s="129"/>
      <c r="O32" s="129"/>
      <c r="P32" s="130"/>
      <c r="Q32" s="131">
        <f>'Control Entry'!B3</f>
        <v>44700</v>
      </c>
      <c r="R32" s="132"/>
      <c r="S32" s="132"/>
      <c r="T32" s="133"/>
    </row>
    <row r="33" spans="1:22" ht="36" customHeight="1" x14ac:dyDescent="0.2">
      <c r="A33" s="123" t="s">
        <v>43</v>
      </c>
      <c r="B33" s="123"/>
      <c r="C33" s="123"/>
      <c r="D33" s="123"/>
      <c r="E33" s="123"/>
      <c r="F33" s="123"/>
      <c r="G33" s="123"/>
      <c r="H33" s="37"/>
      <c r="I33" s="37"/>
      <c r="M33" s="137" t="s">
        <v>86</v>
      </c>
      <c r="N33" s="138"/>
      <c r="O33" s="138"/>
      <c r="P33" s="138"/>
      <c r="Q33" s="139">
        <f>'Control Entry'!B4</f>
        <v>44870</v>
      </c>
      <c r="R33" s="126"/>
      <c r="S33" s="126"/>
      <c r="T33" s="126"/>
      <c r="V33" s="44"/>
    </row>
    <row r="34" spans="1:22" ht="36" customHeight="1" x14ac:dyDescent="0.2">
      <c r="A34"/>
      <c r="O34" s="15"/>
      <c r="P34" s="15"/>
      <c r="Q34" s="15"/>
      <c r="R34" s="42"/>
    </row>
    <row r="35" spans="1:22" ht="36" customHeight="1" x14ac:dyDescent="0.2">
      <c r="A35"/>
      <c r="N35" s="136"/>
      <c r="O35" s="136"/>
      <c r="P35" s="136"/>
      <c r="Q35" s="136"/>
      <c r="R35" s="136"/>
      <c r="S35" s="136"/>
      <c r="T35" s="136"/>
      <c r="U35" s="136"/>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DiqJ+JOYBhoyZ1m99XU4D8NDihYKDATVeEm7KPe0KaI0+RIl/s0HliAQDBep4bratR5dvcZSaZLG/PV3ddwAYA==" saltValue="BtrAYkICphSvoTgltO5kCQ==" spinCount="100000" sheet="1" objects="1" scenarios="1" formatCells="0" selectLockedCells="1"/>
  <mergeCells count="42">
    <mergeCell ref="M32:P32"/>
    <mergeCell ref="Q32:T32"/>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L16:U16"/>
    <mergeCell ref="L22:N22"/>
    <mergeCell ref="S22:U22"/>
    <mergeCell ref="L11:N11"/>
    <mergeCell ref="S11:U11"/>
    <mergeCell ref="L12:N12"/>
    <mergeCell ref="S12:U12"/>
    <mergeCell ref="L13:N13"/>
    <mergeCell ref="R13:U13"/>
    <mergeCell ref="J21:U21"/>
  </mergeCells>
  <phoneticPr fontId="16" type="noConversion"/>
  <conditionalFormatting sqref="P22:U24">
    <cfRule type="expression" dxfId="14" priority="4">
      <formula>$S$3="#2"</formula>
    </cfRule>
  </conditionalFormatting>
  <conditionalFormatting sqref="K27:V27">
    <cfRule type="expression" dxfId="13" priority="3">
      <formula>$S$3="#2"</formula>
    </cfRule>
  </conditionalFormatting>
  <conditionalFormatting sqref="J22:N22">
    <cfRule type="expression" dxfId="12" priority="2">
      <formula>$S$3="#2"</formula>
    </cfRule>
  </conditionalFormatting>
  <conditionalFormatting sqref="J21:U21">
    <cfRule type="expression" dxfId="11" priority="1">
      <formula>$S$3&lt;&gt;"#2"</formula>
    </cfRule>
  </conditionalFormatting>
  <printOptions horizontalCentered="1" verticalCentered="1"/>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A13" zoomScale="92" zoomScaleNormal="92" zoomScalePageLayoutView="92" workbookViewId="0">
      <selection activeCell="F15" sqref="F15"/>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2" t="s">
        <v>74</v>
      </c>
      <c r="B1" s="122"/>
      <c r="C1" s="122"/>
      <c r="D1" s="122"/>
      <c r="E1" s="122"/>
      <c r="F1" s="122"/>
      <c r="G1" s="122"/>
      <c r="H1" s="24" t="s">
        <v>29</v>
      </c>
    </row>
    <row r="2" spans="1:22" ht="33.75" customHeight="1" thickBot="1" x14ac:dyDescent="0.25">
      <c r="A2" s="65" t="s">
        <v>30</v>
      </c>
      <c r="B2" s="9" t="s">
        <v>3</v>
      </c>
      <c r="C2" s="9" t="s">
        <v>4</v>
      </c>
      <c r="D2" s="9" t="s">
        <v>25</v>
      </c>
      <c r="E2" s="9" t="s">
        <v>31</v>
      </c>
      <c r="F2" s="9" t="s">
        <v>59</v>
      </c>
      <c r="G2" s="65" t="s">
        <v>32</v>
      </c>
      <c r="H2" s="24" t="s">
        <v>29</v>
      </c>
      <c r="K2" s="126" t="s">
        <v>55</v>
      </c>
      <c r="L2" s="126"/>
      <c r="M2" s="126"/>
      <c r="N2" s="126"/>
      <c r="O2" s="126"/>
      <c r="P2" s="126"/>
      <c r="Q2" s="126"/>
      <c r="R2" s="126"/>
      <c r="S2" s="126"/>
      <c r="T2" s="126"/>
      <c r="U2" s="126"/>
    </row>
    <row r="3" spans="1:22" ht="36" customHeight="1" x14ac:dyDescent="0.45">
      <c r="A3" s="25"/>
      <c r="B3" s="26" t="str">
        <f>'Control Entry'!N41</f>
        <v/>
      </c>
      <c r="C3" s="26" t="str">
        <f>'Control Entry'!O41</f>
        <v/>
      </c>
      <c r="D3" s="27"/>
      <c r="E3" s="28" t="str">
        <f>IF(ISBLANK('Control Entry'!F41),"",'Control Entry'!F41)</f>
        <v/>
      </c>
      <c r="F3" s="84" t="str">
        <f>IF(ISBLANK('Control Entry'!I41),"",'Control Entry'!I41)</f>
        <v/>
      </c>
      <c r="G3" s="85"/>
      <c r="H3" s="24" t="s">
        <v>29</v>
      </c>
      <c r="K3" s="14"/>
      <c r="O3" s="111" t="s">
        <v>73</v>
      </c>
      <c r="P3" s="111"/>
      <c r="Q3" s="111"/>
      <c r="R3" s="111"/>
      <c r="S3" s="75" t="str">
        <f>IF('Control Entry'!D41&lt;&gt;0,"#3",IF(AND('Control Entry'!D41=0,'Control Entry'!D54&lt;&gt;0),"#1",""))</f>
        <v/>
      </c>
      <c r="T3" s="76"/>
      <c r="U3" s="38"/>
    </row>
    <row r="4" spans="1:22" ht="36" customHeight="1" x14ac:dyDescent="0.2">
      <c r="A4" s="34" t="str">
        <f>IF(ISBLANK('Control Entry'!D41),"",'Control Entry'!D41)</f>
        <v/>
      </c>
      <c r="B4" s="35" t="str">
        <f>'Control Entry'!N41</f>
        <v/>
      </c>
      <c r="C4" s="35" t="str">
        <f>'Control Entry'!O41</f>
        <v/>
      </c>
      <c r="D4" s="36" t="str">
        <f>IF(ISBLANK('Control Entry'!E41),"",'Control Entry'!E41)</f>
        <v/>
      </c>
      <c r="E4" s="28" t="str">
        <f>IF(ISBLANK('Control Entry'!G41),"",'Control Entry'!G41)</f>
        <v/>
      </c>
      <c r="F4" s="84" t="str">
        <f>IF(ISBLANK('Control Entry'!J41),"",'Control Entry'!J41)</f>
        <v/>
      </c>
      <c r="G4" s="85"/>
      <c r="H4" s="24" t="s">
        <v>29</v>
      </c>
      <c r="K4" s="14"/>
      <c r="M4" s="108" t="str">
        <f>IF(ISBLANK(brevet),"",brevet&amp;" km Randonnée")</f>
        <v>200 km Randonnée</v>
      </c>
      <c r="N4" s="108"/>
      <c r="O4" s="108"/>
      <c r="P4" s="108"/>
      <c r="Q4" s="108"/>
      <c r="R4" s="108"/>
      <c r="S4" s="108"/>
      <c r="T4" s="108"/>
      <c r="U4" s="39"/>
    </row>
    <row r="5" spans="1:22" ht="36" customHeight="1" thickBot="1" x14ac:dyDescent="0.25">
      <c r="A5" s="29"/>
      <c r="B5" s="30" t="str">
        <f>'Control Entry'!N41</f>
        <v/>
      </c>
      <c r="C5" s="30" t="str">
        <f>'Control Entry'!O41</f>
        <v/>
      </c>
      <c r="D5" s="31"/>
      <c r="E5" s="32" t="str">
        <f>IF(ISBLANK('Control Entry'!H41),"",'Control Entry'!H41)</f>
        <v/>
      </c>
      <c r="F5" s="88" t="str">
        <f>IF(ISBLANK('Control Entry'!K41),"",'Control Entry'!K41)</f>
        <v/>
      </c>
      <c r="G5" s="87"/>
      <c r="H5" s="24" t="s">
        <v>29</v>
      </c>
      <c r="K5" s="14"/>
      <c r="M5" s="15"/>
      <c r="N5" s="107" t="s">
        <v>47</v>
      </c>
      <c r="O5" s="107"/>
      <c r="P5" s="52">
        <f>IF(ISBLANK(Brevet_Number),"",Brevet_Number)</f>
        <v>5236</v>
      </c>
      <c r="Q5" s="53"/>
      <c r="R5" s="125" t="str">
        <f>IF(ISBLANK('Control Entry'!$B10),"",'Control Entry'!$B10)</f>
        <v/>
      </c>
      <c r="S5" s="125"/>
      <c r="T5" s="125"/>
      <c r="U5" s="125"/>
      <c r="V5" s="40"/>
    </row>
    <row r="6" spans="1:22" ht="36" customHeight="1" x14ac:dyDescent="0.2">
      <c r="A6" s="25"/>
      <c r="B6" s="26" t="str">
        <f>'Control Entry'!N42</f>
        <v/>
      </c>
      <c r="C6" s="26" t="str">
        <f>'Control Entry'!O42</f>
        <v/>
      </c>
      <c r="D6" s="33"/>
      <c r="E6" s="28" t="str">
        <f>IF(ISBLANK('Control Entry'!F42),"",'Control Entry'!F42)</f>
        <v/>
      </c>
      <c r="F6" s="84" t="str">
        <f>IF(ISBLANK('Control Entry'!I42),"",'Control Entry'!I42)</f>
        <v/>
      </c>
      <c r="G6" s="85"/>
      <c r="H6" s="24" t="s">
        <v>29</v>
      </c>
      <c r="K6" s="14"/>
      <c r="L6" s="114" t="str">
        <f>IF(ISBLANK(Brevet_Description),"",Brevet_Description)</f>
        <v>Permanent #232: VI Remembrance Day 2022</v>
      </c>
      <c r="M6" s="114"/>
      <c r="N6" s="114"/>
      <c r="O6" s="114"/>
      <c r="P6" s="114"/>
      <c r="Q6" s="114"/>
      <c r="R6" s="114"/>
      <c r="S6" s="114"/>
      <c r="T6" s="114"/>
      <c r="U6" s="114"/>
    </row>
    <row r="7" spans="1:22" ht="36" customHeight="1" x14ac:dyDescent="0.2">
      <c r="A7" s="34" t="str">
        <f>IF(ISBLANK('Control Entry'!D42),"",'Control Entry'!D42)</f>
        <v/>
      </c>
      <c r="B7" s="35" t="str">
        <f>'Control Entry'!N42</f>
        <v/>
      </c>
      <c r="C7" s="35" t="str">
        <f>'Control Entry'!O42</f>
        <v/>
      </c>
      <c r="D7" s="36" t="str">
        <f>IF(ISBLANK('Control Entry'!E42),"",'Control Entry'!E42)</f>
        <v/>
      </c>
      <c r="E7" s="28" t="str">
        <f>IF(ISBLANK('Control Entry'!G42),"",'Control Entry'!G42)</f>
        <v/>
      </c>
      <c r="F7" s="84" t="str">
        <f>IF(ISBLANK('Control Entry'!J42),"",'Control Entry'!J42)</f>
        <v/>
      </c>
      <c r="G7" s="85"/>
      <c r="H7" s="24" t="s">
        <v>29</v>
      </c>
    </row>
    <row r="8" spans="1:22" ht="36" customHeight="1" thickBot="1" x14ac:dyDescent="0.25">
      <c r="A8" s="29"/>
      <c r="B8" s="30" t="str">
        <f>'Control Entry'!N42</f>
        <v/>
      </c>
      <c r="C8" s="30" t="str">
        <f>'Control Entry'!O42</f>
        <v/>
      </c>
      <c r="D8" s="31"/>
      <c r="E8" s="32" t="str">
        <f>IF(ISBLANK('Control Entry'!H42),"",'Control Entry'!H42)</f>
        <v/>
      </c>
      <c r="F8" s="88" t="str">
        <f>IF(ISBLANK('Control Entry'!K42),"",'Control Entry'!K42)</f>
        <v/>
      </c>
      <c r="G8" s="87"/>
      <c r="H8" s="24" t="s">
        <v>29</v>
      </c>
      <c r="J8" s="15" t="s">
        <v>34</v>
      </c>
      <c r="L8" s="127"/>
      <c r="M8" s="127"/>
      <c r="N8" s="127"/>
      <c r="O8" s="127"/>
      <c r="P8" s="127"/>
      <c r="Q8" s="127"/>
      <c r="S8" s="41" t="s">
        <v>46</v>
      </c>
      <c r="T8" s="134"/>
      <c r="U8" s="134"/>
    </row>
    <row r="9" spans="1:22" ht="36" customHeight="1" thickBot="1" x14ac:dyDescent="0.3">
      <c r="A9" s="25"/>
      <c r="B9" s="26" t="str">
        <f>'Control Entry'!N43</f>
        <v/>
      </c>
      <c r="C9" s="26" t="str">
        <f>'Control Entry'!O43</f>
        <v/>
      </c>
      <c r="D9" s="33"/>
      <c r="E9" s="28" t="str">
        <f>IF(ISBLANK('Control Entry'!F43),"",'Control Entry'!F43)</f>
        <v/>
      </c>
      <c r="F9" s="84" t="str">
        <f>IF(ISBLANK('Control Entry'!I43),"",'Control Entry'!I43)</f>
        <v/>
      </c>
      <c r="G9" s="85"/>
      <c r="H9" s="24" t="s">
        <v>29</v>
      </c>
      <c r="J9" s="15" t="s">
        <v>35</v>
      </c>
      <c r="K9" s="15"/>
      <c r="L9" s="116" t="s">
        <v>54</v>
      </c>
      <c r="M9" s="116"/>
      <c r="N9" s="116"/>
      <c r="O9" s="116"/>
      <c r="P9" s="116"/>
      <c r="Q9" s="116"/>
      <c r="R9" s="116"/>
      <c r="S9" s="116"/>
      <c r="T9" s="116"/>
      <c r="U9" s="116"/>
    </row>
    <row r="10" spans="1:22" ht="36" customHeight="1" thickBot="1" x14ac:dyDescent="0.3">
      <c r="A10" s="34" t="str">
        <f>IF(ISBLANK('Control Entry'!D43),"",'Control Entry'!D43)</f>
        <v/>
      </c>
      <c r="B10" s="35" t="str">
        <f>'Control Entry'!N43</f>
        <v/>
      </c>
      <c r="C10" s="35" t="str">
        <f>'Control Entry'!O43</f>
        <v/>
      </c>
      <c r="D10" s="36" t="str">
        <f>IF(ISBLANK('Control Entry'!E43),"",'Control Entry'!E43)</f>
        <v/>
      </c>
      <c r="E10" s="28" t="str">
        <f>IF(ISBLANK('Control Entry'!G43),"",'Control Entry'!G43)</f>
        <v/>
      </c>
      <c r="F10" s="84" t="str">
        <f>IF(ISBLANK('Control Entry'!J43),"",'Control Entry'!J43)</f>
        <v/>
      </c>
      <c r="G10" s="85"/>
      <c r="H10" s="24" t="s">
        <v>29</v>
      </c>
      <c r="J10" s="15"/>
      <c r="K10" s="15"/>
      <c r="L10" s="117"/>
      <c r="M10" s="117"/>
      <c r="N10" s="117"/>
      <c r="O10" s="117"/>
      <c r="P10" s="117"/>
      <c r="Q10" s="117"/>
      <c r="R10" s="117"/>
      <c r="S10" s="117"/>
      <c r="T10" s="117"/>
      <c r="U10" s="117"/>
    </row>
    <row r="11" spans="1:22" ht="36" customHeight="1" thickBot="1" x14ac:dyDescent="0.3">
      <c r="A11" s="29"/>
      <c r="B11" s="30" t="str">
        <f>'Control Entry'!N43</f>
        <v/>
      </c>
      <c r="C11" s="30" t="str">
        <f>'Control Entry'!O43</f>
        <v/>
      </c>
      <c r="D11" s="31"/>
      <c r="E11" s="32" t="str">
        <f>IF(ISBLANK('Control Entry'!H43),"",'Control Entry'!H43)</f>
        <v/>
      </c>
      <c r="F11" s="88" t="str">
        <f>IF(ISBLANK('Control Entry'!K43),"",'Control Entry'!K43)</f>
        <v/>
      </c>
      <c r="G11" s="87"/>
      <c r="H11" s="24" t="s">
        <v>29</v>
      </c>
      <c r="J11" s="15" t="s">
        <v>36</v>
      </c>
      <c r="K11" s="15"/>
      <c r="L11" s="117"/>
      <c r="M11" s="117"/>
      <c r="N11" s="117"/>
      <c r="O11" s="15"/>
      <c r="P11" s="15" t="s">
        <v>37</v>
      </c>
      <c r="Q11" s="15"/>
      <c r="R11" s="15"/>
      <c r="S11" s="121"/>
      <c r="T11" s="121"/>
      <c r="U11" s="121"/>
    </row>
    <row r="12" spans="1:22" ht="36" customHeight="1" thickBot="1" x14ac:dyDescent="0.3">
      <c r="A12" s="25"/>
      <c r="B12" s="26" t="str">
        <f>'Control Entry'!N44</f>
        <v/>
      </c>
      <c r="C12" s="26" t="str">
        <f>'Control Entry'!O44</f>
        <v/>
      </c>
      <c r="D12" s="33"/>
      <c r="E12" s="28" t="str">
        <f>IF(ISBLANK('Control Entry'!F44),"",'Control Entry'!F44)</f>
        <v/>
      </c>
      <c r="F12" s="84" t="str">
        <f>IF(ISBLANK('Control Entry'!I44),"",'Control Entry'!I44)</f>
        <v/>
      </c>
      <c r="G12" s="85"/>
      <c r="H12" s="24" t="s">
        <v>29</v>
      </c>
      <c r="J12" s="15" t="s">
        <v>38</v>
      </c>
      <c r="K12" s="15"/>
      <c r="L12" s="117"/>
      <c r="M12" s="117"/>
      <c r="N12" s="117"/>
      <c r="O12" s="15"/>
      <c r="P12" s="15" t="s">
        <v>39</v>
      </c>
      <c r="Q12" s="15"/>
      <c r="R12" s="15"/>
      <c r="S12" s="121"/>
      <c r="T12" s="121"/>
      <c r="U12" s="121"/>
    </row>
    <row r="13" spans="1:22" ht="36" customHeight="1" thickBot="1" x14ac:dyDescent="0.3">
      <c r="A13" s="34" t="str">
        <f>IF(ISBLANK('Control Entry'!D44),"",'Control Entry'!D44)</f>
        <v/>
      </c>
      <c r="B13" s="35" t="str">
        <f>'Control Entry'!N44</f>
        <v/>
      </c>
      <c r="C13" s="35" t="str">
        <f>'Control Entry'!O44</f>
        <v/>
      </c>
      <c r="D13" s="36" t="str">
        <f>IF(ISBLANK('Control Entry'!E44),"",'Control Entry'!E44)</f>
        <v/>
      </c>
      <c r="E13" s="28" t="str">
        <f>IF(ISBLANK('Control Entry'!G44),"",'Control Entry'!G44)</f>
        <v/>
      </c>
      <c r="F13" s="84" t="str">
        <f>IF(ISBLANK('Control Entry'!J44),"",'Control Entry'!J44)</f>
        <v/>
      </c>
      <c r="G13" s="85"/>
      <c r="H13" s="24" t="s">
        <v>29</v>
      </c>
      <c r="J13" s="15" t="s">
        <v>40</v>
      </c>
      <c r="L13" s="120"/>
      <c r="M13" s="120"/>
      <c r="N13" s="120"/>
      <c r="P13" s="15" t="s">
        <v>41</v>
      </c>
      <c r="Q13" s="15"/>
      <c r="R13" s="124"/>
      <c r="S13" s="124"/>
      <c r="T13" s="124"/>
      <c r="U13" s="124"/>
    </row>
    <row r="14" spans="1:22" ht="36" customHeight="1" thickBot="1" x14ac:dyDescent="0.25">
      <c r="A14" s="29"/>
      <c r="B14" s="30" t="str">
        <f>'Control Entry'!N44</f>
        <v/>
      </c>
      <c r="C14" s="30" t="str">
        <f>'Control Entry'!O44</f>
        <v/>
      </c>
      <c r="D14" s="31"/>
      <c r="E14" s="32" t="str">
        <f>IF(ISBLANK('Control Entry'!H44),"",'Control Entry'!H44)</f>
        <v/>
      </c>
      <c r="F14" s="88" t="str">
        <f>IF(ISBLANK('Control Entry'!K44),"",'Control Entry'!K44)</f>
        <v/>
      </c>
      <c r="G14" s="87"/>
      <c r="H14" s="24" t="s">
        <v>29</v>
      </c>
    </row>
    <row r="15" spans="1:22" ht="36" customHeight="1" x14ac:dyDescent="0.2">
      <c r="A15" s="25"/>
      <c r="B15" s="26" t="str">
        <f>'Control Entry'!N45</f>
        <v/>
      </c>
      <c r="C15" s="26" t="str">
        <f>'Control Entry'!O45</f>
        <v/>
      </c>
      <c r="D15" s="33"/>
      <c r="E15" s="28" t="str">
        <f>IF(ISBLANK('Control Entry'!F45),"",'Control Entry'!F45)</f>
        <v/>
      </c>
      <c r="F15" s="84" t="str">
        <f>IF(ISBLANK('Control Entry'!I45),"",'Control Entry'!I45)</f>
        <v/>
      </c>
      <c r="G15" s="85"/>
      <c r="H15" s="24" t="s">
        <v>29</v>
      </c>
      <c r="J15" s="15"/>
      <c r="L15" s="113" t="s">
        <v>58</v>
      </c>
      <c r="M15" s="113"/>
      <c r="N15" s="113"/>
      <c r="O15" s="113"/>
      <c r="P15" s="113"/>
      <c r="Q15" s="113"/>
      <c r="R15" s="113"/>
      <c r="S15" s="113"/>
      <c r="T15" s="113"/>
      <c r="U15" s="113"/>
    </row>
    <row r="16" spans="1:22" ht="36" customHeight="1" thickBot="1" x14ac:dyDescent="0.25">
      <c r="A16" s="34" t="str">
        <f>IF(ISBLANK('Control Entry'!D45),"",'Control Entry'!D45)</f>
        <v/>
      </c>
      <c r="B16" s="35" t="str">
        <f>'Control Entry'!N45</f>
        <v/>
      </c>
      <c r="C16" s="35" t="str">
        <f>'Control Entry'!O45</f>
        <v/>
      </c>
      <c r="D16" s="36" t="str">
        <f>IF(ISBLANK('Control Entry'!E45),"",'Control Entry'!E45)</f>
        <v/>
      </c>
      <c r="E16" s="28" t="str">
        <f>IF(ISBLANK('Control Entry'!G45),"",'Control Entry'!G45)</f>
        <v/>
      </c>
      <c r="F16" s="84" t="str">
        <f>IF(ISBLANK('Control Entry'!J45),"",'Control Entry'!J45)</f>
        <v/>
      </c>
      <c r="G16" s="85"/>
      <c r="H16" s="24" t="s">
        <v>29</v>
      </c>
      <c r="L16" s="141"/>
      <c r="M16" s="141"/>
      <c r="N16" s="141"/>
      <c r="O16" s="141"/>
      <c r="P16" s="141"/>
      <c r="Q16" s="141"/>
      <c r="R16" s="141"/>
      <c r="S16" s="141"/>
      <c r="T16" s="141"/>
      <c r="U16" s="141"/>
    </row>
    <row r="17" spans="1:22" ht="36" customHeight="1" thickBot="1" x14ac:dyDescent="0.25">
      <c r="A17" s="29"/>
      <c r="B17" s="30" t="str">
        <f>'Control Entry'!N45</f>
        <v/>
      </c>
      <c r="C17" s="30" t="str">
        <f>'Control Entry'!O45</f>
        <v/>
      </c>
      <c r="D17" s="31"/>
      <c r="E17" s="32" t="str">
        <f>IF(ISBLANK('Control Entry'!H45),"",'Control Entry'!H45)</f>
        <v/>
      </c>
      <c r="F17" s="88" t="str">
        <f>IF(ISBLANK('Control Entry'!K45),"",'Control Entry'!K45)</f>
        <v/>
      </c>
      <c r="G17" s="87"/>
      <c r="H17" s="24" t="s">
        <v>29</v>
      </c>
    </row>
    <row r="18" spans="1:22" ht="36" customHeight="1" x14ac:dyDescent="0.2">
      <c r="A18" s="25"/>
      <c r="B18" s="26" t="str">
        <f>'Control Entry'!N46</f>
        <v/>
      </c>
      <c r="C18" s="26" t="str">
        <f>'Control Entry'!O46</f>
        <v/>
      </c>
      <c r="D18" s="33"/>
      <c r="E18" s="28" t="str">
        <f>IF(ISBLANK('Control Entry'!F46),"",'Control Entry'!F46)</f>
        <v/>
      </c>
      <c r="F18" s="84" t="str">
        <f>IF(ISBLANK('Control Entry'!I46),"",'Control Entry'!I46)</f>
        <v/>
      </c>
      <c r="G18" s="85"/>
      <c r="H18" s="24" t="s">
        <v>29</v>
      </c>
    </row>
    <row r="19" spans="1:22" ht="36" customHeight="1" x14ac:dyDescent="0.2">
      <c r="A19" s="34" t="str">
        <f>IF(ISBLANK('Control Entry'!D46),"",'Control Entry'!D46)</f>
        <v/>
      </c>
      <c r="B19" s="35" t="str">
        <f>'Control Entry'!N46</f>
        <v/>
      </c>
      <c r="C19" s="35" t="str">
        <f>'Control Entry'!O46</f>
        <v/>
      </c>
      <c r="D19" s="36" t="str">
        <f>IF(ISBLANK('Control Entry'!E46),"",'Control Entry'!E46)</f>
        <v/>
      </c>
      <c r="E19" s="28" t="str">
        <f>IF(ISBLANK('Control Entry'!G46),"",'Control Entry'!G46)</f>
        <v/>
      </c>
      <c r="F19" s="84" t="str">
        <f>IF(ISBLANK('Control Entry'!J46),"",'Control Entry'!J46)</f>
        <v/>
      </c>
      <c r="G19" s="85"/>
      <c r="H19" s="24" t="s">
        <v>29</v>
      </c>
    </row>
    <row r="20" spans="1:22" ht="36" customHeight="1" thickBot="1" x14ac:dyDescent="0.25">
      <c r="A20" s="29"/>
      <c r="B20" s="30" t="str">
        <f>'Control Entry'!N46</f>
        <v/>
      </c>
      <c r="C20" s="30" t="str">
        <f>'Control Entry'!O46</f>
        <v/>
      </c>
      <c r="D20" s="31"/>
      <c r="E20" s="32" t="str">
        <f>IF(ISBLANK('Control Entry'!H46),"",'Control Entry'!H46)</f>
        <v/>
      </c>
      <c r="F20" s="88" t="str">
        <f>IF(ISBLANK('Control Entry'!K46),"",'Control Entry'!K46)</f>
        <v/>
      </c>
      <c r="G20" s="87"/>
      <c r="H20" s="24" t="s">
        <v>29</v>
      </c>
      <c r="J20" s="50" t="s">
        <v>44</v>
      </c>
      <c r="K20" s="50"/>
      <c r="L20" s="135" t="str">
        <f>IF(ISBLANK('Control Entry'!B12),"",'Control Entry'!B12)</f>
        <v/>
      </c>
      <c r="M20" s="135"/>
      <c r="N20" s="135"/>
      <c r="P20" s="15" t="s">
        <v>0</v>
      </c>
      <c r="Q20" s="15"/>
      <c r="S20" s="112">
        <f>IF(ISBLANK('Control Entry'!B13),"",'Control Entry'!B13)</f>
        <v>0</v>
      </c>
      <c r="T20" s="112"/>
      <c r="U20" s="112"/>
    </row>
    <row r="21" spans="1:22" ht="36" customHeight="1" x14ac:dyDescent="0.2">
      <c r="A21" s="25"/>
      <c r="B21" s="26" t="str">
        <f>'Control Entry'!N47</f>
        <v/>
      </c>
      <c r="C21" s="26" t="str">
        <f>'Control Entry'!O47</f>
        <v/>
      </c>
      <c r="D21" s="33"/>
      <c r="E21" s="28" t="str">
        <f>IF(ISBLANK('Control Entry'!F47),"",'Control Entry'!F47)</f>
        <v/>
      </c>
      <c r="F21" s="84" t="str">
        <f>IF(ISBLANK('Control Entry'!I47),"",'Control Entry'!I47)</f>
        <v/>
      </c>
      <c r="G21" s="85"/>
      <c r="H21" s="24" t="s">
        <v>29</v>
      </c>
      <c r="J21" s="114" t="s">
        <v>90</v>
      </c>
      <c r="K21" s="114"/>
      <c r="L21" s="114"/>
      <c r="M21" s="114"/>
      <c r="N21" s="114"/>
      <c r="O21" s="114"/>
      <c r="P21" s="114"/>
      <c r="Q21" s="114"/>
      <c r="R21" s="114"/>
      <c r="S21" s="114"/>
      <c r="T21" s="114"/>
      <c r="U21" s="114"/>
    </row>
    <row r="22" spans="1:22" ht="36" customHeight="1" thickBot="1" x14ac:dyDescent="0.25">
      <c r="A22" s="34" t="str">
        <f>IF(ISBLANK('Control Entry'!D47),"",'Control Entry'!D47)</f>
        <v/>
      </c>
      <c r="B22" s="35" t="str">
        <f>'Control Entry'!N47</f>
        <v/>
      </c>
      <c r="C22" s="35" t="str">
        <f>'Control Entry'!O47</f>
        <v/>
      </c>
      <c r="D22" s="36" t="str">
        <f>IF(ISBLANK('Control Entry'!E47),"",'Control Entry'!E47)</f>
        <v/>
      </c>
      <c r="E22" s="28" t="str">
        <f>IF(ISBLANK('Control Entry'!G47),"",'Control Entry'!G47)</f>
        <v/>
      </c>
      <c r="F22" s="84" t="str">
        <f>IF(ISBLANK('Control Entry'!J47),"",'Control Entry'!J47)</f>
        <v/>
      </c>
      <c r="G22" s="85"/>
      <c r="H22" s="24" t="s">
        <v>29</v>
      </c>
      <c r="J22" s="50" t="s">
        <v>45</v>
      </c>
      <c r="K22" s="50"/>
      <c r="L22" s="89"/>
      <c r="M22" s="89"/>
      <c r="N22" s="89"/>
      <c r="P22" s="15" t="s">
        <v>1</v>
      </c>
      <c r="Q22" s="15"/>
      <c r="S22" s="115"/>
      <c r="T22" s="115"/>
      <c r="U22" s="115"/>
    </row>
    <row r="23" spans="1:22" ht="36" customHeight="1" thickBot="1" x14ac:dyDescent="0.25">
      <c r="A23" s="29"/>
      <c r="B23" s="30" t="str">
        <f>'Control Entry'!N47</f>
        <v/>
      </c>
      <c r="C23" s="30" t="str">
        <f>'Control Entry'!O47</f>
        <v/>
      </c>
      <c r="D23" s="31"/>
      <c r="E23" s="32" t="str">
        <f>IF(ISBLANK('Control Entry'!H47),"",'Control Entry'!H47)</f>
        <v/>
      </c>
      <c r="F23" s="88" t="str">
        <f>IF(ISBLANK('Control Entry'!K47),"",'Control Entry'!K47)</f>
        <v/>
      </c>
      <c r="G23" s="87"/>
      <c r="H23" s="24" t="s">
        <v>29</v>
      </c>
      <c r="J23" s="50"/>
      <c r="K23" s="50"/>
      <c r="L23" s="44"/>
      <c r="M23" s="44"/>
      <c r="N23" s="44"/>
      <c r="P23" s="15"/>
      <c r="Q23" s="15"/>
    </row>
    <row r="24" spans="1:22" ht="36" customHeight="1" thickBot="1" x14ac:dyDescent="0.25">
      <c r="A24" s="25"/>
      <c r="B24" s="26" t="str">
        <f>'Control Entry'!N48</f>
        <v/>
      </c>
      <c r="C24" s="26" t="str">
        <f>'Control Entry'!O48</f>
        <v/>
      </c>
      <c r="D24" s="33"/>
      <c r="E24" s="28" t="str">
        <f>IF(ISBLANK('Control Entry'!F48),"",'Control Entry'!F48)</f>
        <v/>
      </c>
      <c r="F24" s="84" t="str">
        <f>IF(ISBLANK('Control Entry'!I48),"",'Control Entry'!I48)</f>
        <v/>
      </c>
      <c r="G24" s="85"/>
      <c r="H24" s="24" t="s">
        <v>29</v>
      </c>
      <c r="J24" s="115"/>
      <c r="K24" s="115"/>
      <c r="L24" s="115"/>
      <c r="M24" s="115"/>
      <c r="N24" s="115"/>
      <c r="P24" s="15" t="s">
        <v>2</v>
      </c>
      <c r="Q24" s="15"/>
      <c r="S24" s="115"/>
      <c r="T24" s="115"/>
      <c r="U24" s="115"/>
    </row>
    <row r="25" spans="1:22" ht="36" customHeight="1" x14ac:dyDescent="0.2">
      <c r="A25" s="34" t="str">
        <f>IF(ISBLANK('Control Entry'!D48),"",'Control Entry'!D48)</f>
        <v/>
      </c>
      <c r="B25" s="35" t="str">
        <f>'Control Entry'!N48</f>
        <v/>
      </c>
      <c r="C25" s="35" t="str">
        <f>'Control Entry'!O48</f>
        <v/>
      </c>
      <c r="D25" s="36" t="str">
        <f>IF(ISBLANK('Control Entry'!E48),"",'Control Entry'!E48)</f>
        <v/>
      </c>
      <c r="E25" s="28" t="str">
        <f>IF(ISBLANK('Control Entry'!G48),"",'Control Entry'!G48)</f>
        <v/>
      </c>
      <c r="F25" s="84" t="str">
        <f>IF(ISBLANK('Control Entry'!J48),"",'Control Entry'!J48)</f>
        <v/>
      </c>
      <c r="G25" s="85"/>
      <c r="H25" s="24" t="s">
        <v>29</v>
      </c>
      <c r="J25" s="110" t="s">
        <v>17</v>
      </c>
      <c r="K25" s="110"/>
      <c r="L25" s="110"/>
      <c r="M25" s="110"/>
      <c r="N25" s="110"/>
      <c r="O25" s="46"/>
      <c r="P25" s="109"/>
      <c r="Q25" s="109"/>
      <c r="R25" s="46"/>
      <c r="S25" s="107"/>
      <c r="T25" s="107"/>
      <c r="U25" s="107"/>
      <c r="V25" s="107"/>
    </row>
    <row r="26" spans="1:22" ht="36" customHeight="1" thickBot="1" x14ac:dyDescent="0.25">
      <c r="A26" s="29"/>
      <c r="B26" s="30" t="str">
        <f>'Control Entry'!N48</f>
        <v/>
      </c>
      <c r="C26" s="30" t="str">
        <f>'Control Entry'!O48</f>
        <v/>
      </c>
      <c r="D26" s="31"/>
      <c r="E26" s="32" t="str">
        <f>IF(ISBLANK('Control Entry'!H48),"",'Control Entry'!H48)</f>
        <v/>
      </c>
      <c r="F26" s="88" t="str">
        <f>IF(ISBLANK('Control Entry'!K48),"",'Control Entry'!K48)</f>
        <v/>
      </c>
      <c r="G26" s="87"/>
      <c r="H26" s="24" t="s">
        <v>29</v>
      </c>
    </row>
    <row r="27" spans="1:22" ht="36" customHeight="1" x14ac:dyDescent="0.2">
      <c r="A27" s="25"/>
      <c r="B27" s="26" t="str">
        <f>'Control Entry'!N49</f>
        <v/>
      </c>
      <c r="C27" s="26" t="str">
        <f>'Control Entry'!O49</f>
        <v/>
      </c>
      <c r="D27" s="33"/>
      <c r="E27" s="28" t="str">
        <f>IF(ISBLANK('Control Entry'!F49),"",'Control Entry'!F49)</f>
        <v/>
      </c>
      <c r="F27" s="84" t="str">
        <f>IF(ISBLANK('Control Entry'!I49),"",'Control Entry'!I49)</f>
        <v/>
      </c>
      <c r="G27" s="85"/>
      <c r="H27" s="24" t="s">
        <v>29</v>
      </c>
      <c r="K27" s="108" t="s">
        <v>56</v>
      </c>
      <c r="L27" s="109"/>
      <c r="M27" s="45" t="s">
        <v>57</v>
      </c>
      <c r="N27" s="109" t="s">
        <v>49</v>
      </c>
      <c r="O27" s="109"/>
      <c r="P27" s="109" t="s">
        <v>50</v>
      </c>
      <c r="Q27" s="109"/>
      <c r="R27" s="46" t="s">
        <v>51</v>
      </c>
      <c r="S27" s="107" t="s">
        <v>52</v>
      </c>
      <c r="T27" s="107"/>
      <c r="U27" s="107" t="s">
        <v>53</v>
      </c>
      <c r="V27" s="107"/>
    </row>
    <row r="28" spans="1:22" ht="36" customHeight="1" x14ac:dyDescent="0.2">
      <c r="A28" s="34" t="str">
        <f>IF(ISBLANK('Control Entry'!D49),"",'Control Entry'!D49)</f>
        <v/>
      </c>
      <c r="B28" s="35" t="str">
        <f>'Control Entry'!N49</f>
        <v/>
      </c>
      <c r="C28" s="35" t="str">
        <f>'Control Entry'!O49</f>
        <v/>
      </c>
      <c r="D28" s="36" t="str">
        <f>IF(ISBLANK('Control Entry'!E49),"",'Control Entry'!E49)</f>
        <v/>
      </c>
      <c r="E28" s="28" t="str">
        <f>IF(ISBLANK('Control Entry'!G49),"",'Control Entry'!G49)</f>
        <v/>
      </c>
      <c r="F28" s="84" t="str">
        <f>IF(ISBLANK('Control Entry'!J49),"",'Control Entry'!J49)</f>
        <v/>
      </c>
      <c r="G28" s="85"/>
      <c r="H28" s="24" t="s">
        <v>29</v>
      </c>
    </row>
    <row r="29" spans="1:22" ht="36" customHeight="1" thickBot="1" x14ac:dyDescent="0.25">
      <c r="A29" s="29"/>
      <c r="B29" s="30" t="str">
        <f>'Control Entry'!N49</f>
        <v/>
      </c>
      <c r="C29" s="30" t="str">
        <f>'Control Entry'!O49</f>
        <v/>
      </c>
      <c r="D29" s="31"/>
      <c r="E29" s="32" t="str">
        <f>IF(ISBLANK('Control Entry'!H49),"",'Control Entry'!H49)</f>
        <v/>
      </c>
      <c r="F29" s="88" t="str">
        <f>IF(ISBLANK('Control Entry'!K49),"",'Control Entry'!K49)</f>
        <v/>
      </c>
      <c r="G29" s="87"/>
      <c r="H29" s="24" t="s">
        <v>29</v>
      </c>
      <c r="M29" s="136" t="s">
        <v>42</v>
      </c>
      <c r="N29" s="136"/>
      <c r="O29" s="136"/>
      <c r="P29" s="136"/>
      <c r="Q29" s="136"/>
      <c r="R29" s="136"/>
      <c r="S29" s="136"/>
      <c r="T29" s="136"/>
      <c r="U29" s="49"/>
    </row>
    <row r="30" spans="1:22" ht="36" customHeight="1" x14ac:dyDescent="0.2">
      <c r="A30" s="25"/>
      <c r="B30" s="26" t="str">
        <f>'Control Entry'!N50</f>
        <v/>
      </c>
      <c r="C30" s="26" t="str">
        <f>'Control Entry'!O50</f>
        <v/>
      </c>
      <c r="D30" s="33"/>
      <c r="E30" s="28" t="str">
        <f>IF(ISBLANK('Control Entry'!F50),"",'Control Entry'!F50)</f>
        <v/>
      </c>
      <c r="F30" s="84" t="str">
        <f>IF(ISBLANK('Control Entry'!I50),"",'Control Entry'!I50)</f>
        <v/>
      </c>
      <c r="G30" s="85"/>
      <c r="H30" s="24" t="s">
        <v>29</v>
      </c>
      <c r="M30" s="16"/>
      <c r="N30" s="18"/>
      <c r="O30" s="18"/>
      <c r="P30" s="19"/>
      <c r="Q30" s="16"/>
      <c r="R30" s="18"/>
      <c r="S30" s="18"/>
      <c r="T30" s="19"/>
    </row>
    <row r="31" spans="1:22" ht="36" customHeight="1" x14ac:dyDescent="0.2">
      <c r="A31" s="34" t="str">
        <f>IF(ISBLANK('Control Entry'!D50),"",'Control Entry'!D50)</f>
        <v/>
      </c>
      <c r="B31" s="35" t="str">
        <f>'Control Entry'!N50</f>
        <v/>
      </c>
      <c r="C31" s="35" t="str">
        <f>'Control Entry'!O50</f>
        <v/>
      </c>
      <c r="D31" s="36" t="str">
        <f>IF(ISBLANK('Control Entry'!E50),"",'Control Entry'!E50)</f>
        <v/>
      </c>
      <c r="E31" s="28" t="str">
        <f>IF(ISBLANK('Control Entry'!G50),"",'Control Entry'!G50)</f>
        <v/>
      </c>
      <c r="F31" s="84" t="str">
        <f>IF(ISBLANK('Control Entry'!J50),"",'Control Entry'!J50)</f>
        <v/>
      </c>
      <c r="G31" s="85"/>
      <c r="H31" s="24" t="s">
        <v>29</v>
      </c>
      <c r="M31" s="17"/>
      <c r="P31" s="20"/>
      <c r="Q31" s="17"/>
      <c r="T31" s="20"/>
    </row>
    <row r="32" spans="1:22" ht="36" customHeight="1" thickBot="1" x14ac:dyDescent="0.25">
      <c r="A32" s="29"/>
      <c r="B32" s="30" t="str">
        <f>'Control Entry'!N50</f>
        <v/>
      </c>
      <c r="C32" s="30" t="str">
        <f>'Control Entry'!O50</f>
        <v/>
      </c>
      <c r="D32" s="31"/>
      <c r="E32" s="32" t="str">
        <f>IF(ISBLANK('Control Entry'!H50),"",'Control Entry'!H50)</f>
        <v/>
      </c>
      <c r="F32" s="88" t="str">
        <f>IF(ISBLANK('Control Entry'!K50),"",'Control Entry'!K50)</f>
        <v/>
      </c>
      <c r="G32" s="87"/>
      <c r="H32" s="24" t="s">
        <v>29</v>
      </c>
      <c r="M32" s="128" t="s">
        <v>82</v>
      </c>
      <c r="N32" s="129"/>
      <c r="O32" s="129"/>
      <c r="P32" s="130"/>
      <c r="Q32" s="131">
        <f>'Control Entry'!B3</f>
        <v>44700</v>
      </c>
      <c r="R32" s="132"/>
      <c r="S32" s="132"/>
      <c r="T32" s="133"/>
    </row>
    <row r="33" spans="1:22" ht="36" customHeight="1" x14ac:dyDescent="0.2">
      <c r="A33" s="123" t="s">
        <v>43</v>
      </c>
      <c r="B33" s="123"/>
      <c r="C33" s="123"/>
      <c r="D33" s="123"/>
      <c r="E33" s="123"/>
      <c r="F33" s="123"/>
      <c r="G33" s="123"/>
      <c r="H33" s="37"/>
      <c r="I33" s="37"/>
      <c r="M33" s="137" t="s">
        <v>86</v>
      </c>
      <c r="N33" s="138"/>
      <c r="O33" s="138"/>
      <c r="P33" s="138"/>
      <c r="Q33" s="139">
        <f>'Control Entry'!B4</f>
        <v>44870</v>
      </c>
      <c r="R33" s="126"/>
      <c r="S33" s="126"/>
      <c r="T33" s="126"/>
      <c r="U33" s="81"/>
      <c r="V33" s="44"/>
    </row>
    <row r="34" spans="1:22" ht="36" customHeight="1" x14ac:dyDescent="0.2">
      <c r="A34"/>
      <c r="O34" s="15"/>
      <c r="P34" s="15"/>
      <c r="Q34" s="15"/>
      <c r="R34" s="42"/>
    </row>
    <row r="35" spans="1:22" ht="36" customHeight="1" x14ac:dyDescent="0.2">
      <c r="A35"/>
      <c r="N35" s="136"/>
      <c r="O35" s="136"/>
      <c r="P35" s="136"/>
      <c r="Q35" s="136"/>
      <c r="R35" s="136"/>
      <c r="S35" s="136"/>
      <c r="T35" s="136"/>
      <c r="U35" s="136"/>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S22:U22"/>
    <mergeCell ref="J24:N24"/>
    <mergeCell ref="S24:U24"/>
    <mergeCell ref="S11:U11"/>
    <mergeCell ref="L12:N12"/>
    <mergeCell ref="S12:U12"/>
    <mergeCell ref="L13:N13"/>
    <mergeCell ref="R13:U13"/>
    <mergeCell ref="J21:U21"/>
  </mergeCells>
  <conditionalFormatting sqref="P22:U24">
    <cfRule type="expression" dxfId="10" priority="4">
      <formula>$S$3="#3"</formula>
    </cfRule>
  </conditionalFormatting>
  <conditionalFormatting sqref="J22:N22">
    <cfRule type="expression" dxfId="9" priority="3">
      <formula>$S$3="#3"</formula>
    </cfRule>
  </conditionalFormatting>
  <conditionalFormatting sqref="K27:V27">
    <cfRule type="expression" dxfId="8" priority="2">
      <formula>$S$3="#3"</formula>
    </cfRule>
  </conditionalFormatting>
  <conditionalFormatting sqref="J21:U21">
    <cfRule type="expression" dxfId="7" priority="1">
      <formula>$S$3&lt;&gt;"#3"</formula>
    </cfRule>
  </conditionalFormatting>
  <printOptions horizontalCentered="1" verticalCentered="1"/>
  <pageMargins left="0.2" right="0.2" top="0.2" bottom="0.2" header="0.51" footer="0.51"/>
  <pageSetup scale="45" orientation="landscape" horizontalDpi="4294967292" verticalDpi="4294967292"/>
  <ignoredErrors>
    <ignoredError sqref="L20"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F177-8884-5D4F-9CF4-14229878B446}">
  <sheetPr>
    <pageSetUpPr fitToPage="1"/>
  </sheetPr>
  <dimension ref="A1:V40"/>
  <sheetViews>
    <sheetView showGridLines="0" topLeftCell="A2"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2" t="s">
        <v>74</v>
      </c>
      <c r="B1" s="122"/>
      <c r="C1" s="122"/>
      <c r="D1" s="122"/>
      <c r="E1" s="122"/>
      <c r="F1" s="122"/>
      <c r="G1" s="122"/>
      <c r="H1" s="24" t="s">
        <v>29</v>
      </c>
    </row>
    <row r="2" spans="1:22" ht="33.75" customHeight="1" thickBot="1" x14ac:dyDescent="0.25">
      <c r="A2" s="65" t="s">
        <v>30</v>
      </c>
      <c r="B2" s="9" t="s">
        <v>3</v>
      </c>
      <c r="C2" s="9" t="s">
        <v>4</v>
      </c>
      <c r="D2" s="9" t="s">
        <v>25</v>
      </c>
      <c r="E2" s="9" t="s">
        <v>31</v>
      </c>
      <c r="F2" s="9" t="s">
        <v>59</v>
      </c>
      <c r="G2" s="65" t="s">
        <v>32</v>
      </c>
      <c r="H2" s="24" t="s">
        <v>29</v>
      </c>
      <c r="K2" s="126" t="s">
        <v>55</v>
      </c>
      <c r="L2" s="126"/>
      <c r="M2" s="126"/>
      <c r="N2" s="126"/>
      <c r="O2" s="126"/>
      <c r="P2" s="126"/>
      <c r="Q2" s="126"/>
      <c r="R2" s="126"/>
      <c r="S2" s="126"/>
      <c r="T2" s="126"/>
      <c r="U2" s="126"/>
    </row>
    <row r="3" spans="1:22" ht="36" customHeight="1" x14ac:dyDescent="0.45">
      <c r="A3" s="25"/>
      <c r="B3" s="26" t="str">
        <f>'Control Entry'!N54</f>
        <v/>
      </c>
      <c r="C3" s="26" t="str">
        <f>'Control Entry'!O54</f>
        <v/>
      </c>
      <c r="D3" s="27"/>
      <c r="E3" s="28" t="str">
        <f>IF(ISBLANK('Control Entry'!F54),"",'Control Entry'!F54)</f>
        <v/>
      </c>
      <c r="F3" s="84" t="str">
        <f>IF(ISBLANK('Control Entry'!I54),"",'Control Entry'!I54)</f>
        <v/>
      </c>
      <c r="G3" s="85"/>
      <c r="H3" s="24" t="s">
        <v>29</v>
      </c>
      <c r="K3" s="14"/>
      <c r="O3" s="111" t="s">
        <v>73</v>
      </c>
      <c r="P3" s="111"/>
      <c r="Q3" s="111"/>
      <c r="R3" s="111"/>
      <c r="S3" s="75" t="str">
        <f>IF(AND('Control Entry'!D41=0,'Control Entry'!D54&lt;&gt;0),"#2",IF('Control Entry'!D54=0,"","#4"))</f>
        <v/>
      </c>
      <c r="T3" s="76"/>
      <c r="U3" s="38"/>
    </row>
    <row r="4" spans="1:22" ht="36" customHeight="1" x14ac:dyDescent="0.2">
      <c r="A4" s="34" t="str">
        <f>IF(ISBLANK('Control Entry'!D54),"",'Control Entry'!D54)</f>
        <v/>
      </c>
      <c r="B4" s="35" t="str">
        <f>'Control Entry'!N54</f>
        <v/>
      </c>
      <c r="C4" s="35" t="str">
        <f>'Control Entry'!O54</f>
        <v/>
      </c>
      <c r="D4" s="36" t="str">
        <f>IF(ISBLANK('Control Entry'!E54),"",'Control Entry'!E54)</f>
        <v/>
      </c>
      <c r="E4" s="28" t="str">
        <f>IF(ISBLANK('Control Entry'!G54),"",'Control Entry'!G54)</f>
        <v/>
      </c>
      <c r="F4" s="84" t="str">
        <f>IF(ISBLANK('Control Entry'!J54),"",'Control Entry'!J54)</f>
        <v/>
      </c>
      <c r="G4" s="85"/>
      <c r="H4" s="24" t="s">
        <v>29</v>
      </c>
      <c r="K4" s="14"/>
      <c r="M4" s="108" t="str">
        <f>IF(ISBLANK(brevet),"",brevet&amp;" km Randonnée")</f>
        <v>200 km Randonnée</v>
      </c>
      <c r="N4" s="108"/>
      <c r="O4" s="108"/>
      <c r="P4" s="108"/>
      <c r="Q4" s="108"/>
      <c r="R4" s="108"/>
      <c r="S4" s="108"/>
      <c r="T4" s="108"/>
      <c r="U4" s="39"/>
    </row>
    <row r="5" spans="1:22" ht="36" customHeight="1" thickBot="1" x14ac:dyDescent="0.25">
      <c r="A5" s="29"/>
      <c r="B5" s="30" t="str">
        <f>'Control Entry'!N54</f>
        <v/>
      </c>
      <c r="C5" s="30" t="str">
        <f>'Control Entry'!O54</f>
        <v/>
      </c>
      <c r="D5" s="31"/>
      <c r="E5" s="32" t="str">
        <f>IF(ISBLANK('Control Entry'!H54),"",'Control Entry'!H54)</f>
        <v/>
      </c>
      <c r="F5" s="88" t="str">
        <f>IF(ISBLANK('Control Entry'!K54),"",'Control Entry'!K54)</f>
        <v/>
      </c>
      <c r="G5" s="87"/>
      <c r="H5" s="24" t="s">
        <v>29</v>
      </c>
      <c r="K5" s="14"/>
      <c r="M5" s="15"/>
      <c r="N5" s="107" t="s">
        <v>47</v>
      </c>
      <c r="O5" s="107"/>
      <c r="P5" s="52">
        <f>IF(ISBLANK(Brevet_Number),"",Brevet_Number)</f>
        <v>5236</v>
      </c>
      <c r="Q5" s="53"/>
      <c r="R5" s="125" t="str">
        <f>IF(ISBLANK('Control Entry'!$B10),"",'Control Entry'!$B10)</f>
        <v/>
      </c>
      <c r="S5" s="125"/>
      <c r="T5" s="125"/>
      <c r="U5" s="125"/>
      <c r="V5" s="40"/>
    </row>
    <row r="6" spans="1:22" ht="36" customHeight="1" x14ac:dyDescent="0.2">
      <c r="A6" s="25"/>
      <c r="B6" s="26" t="str">
        <f>'Control Entry'!N55</f>
        <v/>
      </c>
      <c r="C6" s="26" t="str">
        <f>'Control Entry'!O55</f>
        <v/>
      </c>
      <c r="D6" s="33"/>
      <c r="E6" s="28" t="str">
        <f>IF(ISBLANK('Control Entry'!F55),"",'Control Entry'!F55)</f>
        <v/>
      </c>
      <c r="F6" s="84" t="str">
        <f>IF(ISBLANK('Control Entry'!I55),"",'Control Entry'!I55)</f>
        <v/>
      </c>
      <c r="G6" s="85"/>
      <c r="H6" s="24" t="s">
        <v>29</v>
      </c>
      <c r="K6" s="14"/>
      <c r="L6" s="114" t="str">
        <f>IF(ISBLANK(Brevet_Description),"",Brevet_Description)</f>
        <v>Permanent #232: VI Remembrance Day 2022</v>
      </c>
      <c r="M6" s="114"/>
      <c r="N6" s="114"/>
      <c r="O6" s="114"/>
      <c r="P6" s="114"/>
      <c r="Q6" s="114"/>
      <c r="R6" s="114"/>
      <c r="S6" s="114"/>
      <c r="T6" s="114"/>
      <c r="U6" s="114"/>
    </row>
    <row r="7" spans="1:22" ht="36" customHeight="1" x14ac:dyDescent="0.2">
      <c r="A7" s="34" t="str">
        <f>IF(ISBLANK('Control Entry'!D55),"",'Control Entry'!D55)</f>
        <v/>
      </c>
      <c r="B7" s="35" t="str">
        <f>'Control Entry'!N55</f>
        <v/>
      </c>
      <c r="C7" s="35" t="str">
        <f>'Control Entry'!O55</f>
        <v/>
      </c>
      <c r="D7" s="36" t="str">
        <f>IF(ISBLANK('Control Entry'!E55),"",'Control Entry'!E55)</f>
        <v/>
      </c>
      <c r="E7" s="28" t="str">
        <f>IF(ISBLANK('Control Entry'!G55),"",'Control Entry'!G55)</f>
        <v/>
      </c>
      <c r="F7" s="84" t="str">
        <f>IF(ISBLANK('Control Entry'!J55),"",'Control Entry'!J55)</f>
        <v/>
      </c>
      <c r="G7" s="85"/>
      <c r="H7" s="24" t="s">
        <v>29</v>
      </c>
    </row>
    <row r="8" spans="1:22" ht="36" customHeight="1" thickBot="1" x14ac:dyDescent="0.25">
      <c r="A8" s="29"/>
      <c r="B8" s="30" t="str">
        <f>'Control Entry'!N55</f>
        <v/>
      </c>
      <c r="C8" s="30" t="str">
        <f>'Control Entry'!O55</f>
        <v/>
      </c>
      <c r="D8" s="31"/>
      <c r="E8" s="32" t="str">
        <f>IF(ISBLANK('Control Entry'!H55),"",'Control Entry'!H55)</f>
        <v/>
      </c>
      <c r="F8" s="88" t="str">
        <f>IF(ISBLANK('Control Entry'!K55),"",'Control Entry'!K55)</f>
        <v/>
      </c>
      <c r="G8" s="87"/>
      <c r="H8" s="24" t="s">
        <v>29</v>
      </c>
      <c r="J8" s="15" t="s">
        <v>34</v>
      </c>
      <c r="L8" s="127"/>
      <c r="M8" s="127"/>
      <c r="N8" s="127"/>
      <c r="O8" s="127"/>
      <c r="P8" s="127"/>
      <c r="Q8" s="127"/>
      <c r="S8" s="41" t="s">
        <v>46</v>
      </c>
      <c r="T8" s="134"/>
      <c r="U8" s="134"/>
    </row>
    <row r="9" spans="1:22" ht="36" customHeight="1" thickBot="1" x14ac:dyDescent="0.3">
      <c r="A9" s="25"/>
      <c r="B9" s="26" t="str">
        <f>'Control Entry'!N56</f>
        <v/>
      </c>
      <c r="C9" s="26" t="str">
        <f>'Control Entry'!O56</f>
        <v/>
      </c>
      <c r="D9" s="33"/>
      <c r="E9" s="28" t="str">
        <f>IF(ISBLANK('Control Entry'!F56),"",'Control Entry'!F56)</f>
        <v/>
      </c>
      <c r="F9" s="84" t="str">
        <f>IF(ISBLANK('Control Entry'!I56),"",'Control Entry'!I56)</f>
        <v/>
      </c>
      <c r="G9" s="85"/>
      <c r="H9" s="24" t="s">
        <v>29</v>
      </c>
      <c r="J9" s="15" t="s">
        <v>35</v>
      </c>
      <c r="K9" s="15"/>
      <c r="L9" s="116" t="s">
        <v>54</v>
      </c>
      <c r="M9" s="116"/>
      <c r="N9" s="116"/>
      <c r="O9" s="116"/>
      <c r="P9" s="116"/>
      <c r="Q9" s="116"/>
      <c r="R9" s="116"/>
      <c r="S9" s="116"/>
      <c r="T9" s="116"/>
      <c r="U9" s="116"/>
    </row>
    <row r="10" spans="1:22" ht="36" customHeight="1" thickBot="1" x14ac:dyDescent="0.3">
      <c r="A10" s="34" t="str">
        <f>IF(ISBLANK('Control Entry'!D56),"",'Control Entry'!D56)</f>
        <v/>
      </c>
      <c r="B10" s="35" t="str">
        <f>'Control Entry'!N56</f>
        <v/>
      </c>
      <c r="C10" s="35" t="str">
        <f>'Control Entry'!O56</f>
        <v/>
      </c>
      <c r="D10" s="36" t="str">
        <f>IF(ISBLANK('Control Entry'!E56),"",'Control Entry'!E56)</f>
        <v/>
      </c>
      <c r="E10" s="28" t="str">
        <f>IF(ISBLANK('Control Entry'!G56),"",'Control Entry'!G56)</f>
        <v/>
      </c>
      <c r="F10" s="84" t="str">
        <f>IF(ISBLANK('Control Entry'!J56),"",'Control Entry'!J56)</f>
        <v/>
      </c>
      <c r="G10" s="85"/>
      <c r="H10" s="24" t="s">
        <v>29</v>
      </c>
      <c r="J10" s="15"/>
      <c r="K10" s="15"/>
      <c r="L10" s="117"/>
      <c r="M10" s="117"/>
      <c r="N10" s="117"/>
      <c r="O10" s="117"/>
      <c r="P10" s="117"/>
      <c r="Q10" s="117"/>
      <c r="R10" s="117"/>
      <c r="S10" s="117"/>
      <c r="T10" s="117"/>
      <c r="U10" s="117"/>
    </row>
    <row r="11" spans="1:22" ht="36" customHeight="1" thickBot="1" x14ac:dyDescent="0.3">
      <c r="A11" s="29"/>
      <c r="B11" s="30" t="str">
        <f>'Control Entry'!N56</f>
        <v/>
      </c>
      <c r="C11" s="30" t="str">
        <f>'Control Entry'!O56</f>
        <v/>
      </c>
      <c r="D11" s="31"/>
      <c r="E11" s="32" t="str">
        <f>IF(ISBLANK('Control Entry'!H56),"",'Control Entry'!H56)</f>
        <v/>
      </c>
      <c r="F11" s="88" t="str">
        <f>IF(ISBLANK('Control Entry'!K56),"",'Control Entry'!K56)</f>
        <v/>
      </c>
      <c r="G11" s="87"/>
      <c r="H11" s="24" t="s">
        <v>29</v>
      </c>
      <c r="J11" s="15" t="s">
        <v>36</v>
      </c>
      <c r="K11" s="15"/>
      <c r="L11" s="117"/>
      <c r="M11" s="117"/>
      <c r="N11" s="117"/>
      <c r="O11" s="15"/>
      <c r="P11" s="15" t="s">
        <v>37</v>
      </c>
      <c r="Q11" s="15"/>
      <c r="R11" s="15"/>
      <c r="S11" s="121"/>
      <c r="T11" s="121"/>
      <c r="U11" s="121"/>
    </row>
    <row r="12" spans="1:22" ht="36" customHeight="1" thickBot="1" x14ac:dyDescent="0.3">
      <c r="A12" s="25"/>
      <c r="B12" s="26" t="str">
        <f>'Control Entry'!N57</f>
        <v/>
      </c>
      <c r="C12" s="26" t="str">
        <f>'Control Entry'!O57</f>
        <v/>
      </c>
      <c r="D12" s="33"/>
      <c r="E12" s="28" t="str">
        <f>IF(ISBLANK('Control Entry'!F57),"",'Control Entry'!F57)</f>
        <v/>
      </c>
      <c r="F12" s="84" t="str">
        <f>IF(ISBLANK('Control Entry'!I57),"",'Control Entry'!I57)</f>
        <v/>
      </c>
      <c r="G12" s="85"/>
      <c r="H12" s="24" t="s">
        <v>29</v>
      </c>
      <c r="J12" s="15" t="s">
        <v>38</v>
      </c>
      <c r="K12" s="15"/>
      <c r="L12" s="117"/>
      <c r="M12" s="117"/>
      <c r="N12" s="117"/>
      <c r="O12" s="15"/>
      <c r="P12" s="15" t="s">
        <v>39</v>
      </c>
      <c r="Q12" s="15"/>
      <c r="R12" s="15"/>
      <c r="S12" s="121"/>
      <c r="T12" s="121"/>
      <c r="U12" s="121"/>
    </row>
    <row r="13" spans="1:22" ht="36" customHeight="1" thickBot="1" x14ac:dyDescent="0.3">
      <c r="A13" s="34" t="str">
        <f>IF(ISBLANK('Control Entry'!D57),"",'Control Entry'!D57)</f>
        <v/>
      </c>
      <c r="B13" s="35" t="str">
        <f>'Control Entry'!N57</f>
        <v/>
      </c>
      <c r="C13" s="35" t="str">
        <f>'Control Entry'!O57</f>
        <v/>
      </c>
      <c r="D13" s="36" t="str">
        <f>IF(ISBLANK('Control Entry'!E57),"",'Control Entry'!E57)</f>
        <v/>
      </c>
      <c r="E13" s="28" t="str">
        <f>IF(ISBLANK('Control Entry'!G57),"",'Control Entry'!G57)</f>
        <v/>
      </c>
      <c r="F13" s="84" t="str">
        <f>IF(ISBLANK('Control Entry'!J57),"",'Control Entry'!J57)</f>
        <v/>
      </c>
      <c r="G13" s="85"/>
      <c r="H13" s="24" t="s">
        <v>29</v>
      </c>
      <c r="J13" s="15" t="s">
        <v>40</v>
      </c>
      <c r="L13" s="120"/>
      <c r="M13" s="120"/>
      <c r="N13" s="120"/>
      <c r="P13" s="15" t="s">
        <v>41</v>
      </c>
      <c r="Q13" s="15"/>
      <c r="R13" s="124"/>
      <c r="S13" s="124"/>
      <c r="T13" s="124"/>
      <c r="U13" s="124"/>
    </row>
    <row r="14" spans="1:22" ht="36" customHeight="1" thickBot="1" x14ac:dyDescent="0.25">
      <c r="A14" s="29"/>
      <c r="B14" s="30" t="str">
        <f>'Control Entry'!N57</f>
        <v/>
      </c>
      <c r="C14" s="30" t="str">
        <f>'Control Entry'!O57</f>
        <v/>
      </c>
      <c r="D14" s="31"/>
      <c r="E14" s="32" t="str">
        <f>IF(ISBLANK('Control Entry'!H57),"",'Control Entry'!H57)</f>
        <v/>
      </c>
      <c r="F14" s="88" t="str">
        <f>IF(ISBLANK('Control Entry'!K57),"",'Control Entry'!K57)</f>
        <v/>
      </c>
      <c r="G14" s="87"/>
      <c r="H14" s="24" t="s">
        <v>29</v>
      </c>
    </row>
    <row r="15" spans="1:22" ht="36" customHeight="1" x14ac:dyDescent="0.2">
      <c r="A15" s="25"/>
      <c r="B15" s="26" t="str">
        <f>'Control Entry'!N58</f>
        <v/>
      </c>
      <c r="C15" s="26" t="str">
        <f>'Control Entry'!O58</f>
        <v/>
      </c>
      <c r="D15" s="33"/>
      <c r="E15" s="28" t="str">
        <f>IF(ISBLANK('Control Entry'!F58),"",'Control Entry'!F58)</f>
        <v/>
      </c>
      <c r="F15" s="84" t="str">
        <f>IF(ISBLANK('Control Entry'!I58),"",'Control Entry'!I58)</f>
        <v/>
      </c>
      <c r="G15" s="85"/>
      <c r="H15" s="24" t="s">
        <v>29</v>
      </c>
      <c r="J15" s="15"/>
      <c r="L15" s="113" t="s">
        <v>58</v>
      </c>
      <c r="M15" s="113"/>
      <c r="N15" s="113"/>
      <c r="O15" s="113"/>
      <c r="P15" s="113"/>
      <c r="Q15" s="113"/>
      <c r="R15" s="113"/>
      <c r="S15" s="113"/>
      <c r="T15" s="113"/>
      <c r="U15" s="113"/>
    </row>
    <row r="16" spans="1:22" ht="36" customHeight="1" thickBot="1" x14ac:dyDescent="0.25">
      <c r="A16" s="34" t="str">
        <f>IF(ISBLANK('Control Entry'!D58),"",'Control Entry'!D58)</f>
        <v/>
      </c>
      <c r="B16" s="35" t="str">
        <f>'Control Entry'!N58</f>
        <v/>
      </c>
      <c r="C16" s="35" t="str">
        <f>'Control Entry'!O58</f>
        <v/>
      </c>
      <c r="D16" s="36" t="str">
        <f>IF(ISBLANK('Control Entry'!E58),"",'Control Entry'!E58)</f>
        <v/>
      </c>
      <c r="E16" s="28" t="str">
        <f>IF(ISBLANK('Control Entry'!G58),"",'Control Entry'!G58)</f>
        <v/>
      </c>
      <c r="F16" s="84" t="str">
        <f>IF(ISBLANK('Control Entry'!J58),"",'Control Entry'!J58)</f>
        <v/>
      </c>
      <c r="G16" s="85"/>
      <c r="H16" s="24" t="s">
        <v>29</v>
      </c>
      <c r="L16" s="141"/>
      <c r="M16" s="141"/>
      <c r="N16" s="141"/>
      <c r="O16" s="141"/>
      <c r="P16" s="141"/>
      <c r="Q16" s="141"/>
      <c r="R16" s="141"/>
      <c r="S16" s="141"/>
      <c r="T16" s="141"/>
      <c r="U16" s="141"/>
    </row>
    <row r="17" spans="1:22" ht="36" customHeight="1" thickBot="1" x14ac:dyDescent="0.25">
      <c r="A17" s="29"/>
      <c r="B17" s="30" t="str">
        <f>'Control Entry'!N58</f>
        <v/>
      </c>
      <c r="C17" s="30" t="str">
        <f>'Control Entry'!O58</f>
        <v/>
      </c>
      <c r="D17" s="31"/>
      <c r="E17" s="32" t="str">
        <f>IF(ISBLANK('Control Entry'!H58),"",'Control Entry'!H58)</f>
        <v/>
      </c>
      <c r="F17" s="88" t="str">
        <f>IF(ISBLANK('Control Entry'!K58),"",'Control Entry'!K58)</f>
        <v/>
      </c>
      <c r="G17" s="87"/>
      <c r="H17" s="24" t="s">
        <v>29</v>
      </c>
    </row>
    <row r="18" spans="1:22" ht="36" customHeight="1" x14ac:dyDescent="0.2">
      <c r="A18" s="25"/>
      <c r="B18" s="26" t="str">
        <f>'Control Entry'!N59</f>
        <v/>
      </c>
      <c r="C18" s="26" t="str">
        <f>'Control Entry'!O59</f>
        <v/>
      </c>
      <c r="D18" s="33"/>
      <c r="E18" s="28" t="str">
        <f>IF(ISBLANK('Control Entry'!F59),"",'Control Entry'!F59)</f>
        <v/>
      </c>
      <c r="F18" s="84" t="str">
        <f>IF(ISBLANK('Control Entry'!I59),"",'Control Entry'!I59)</f>
        <v/>
      </c>
      <c r="G18" s="85"/>
      <c r="H18" s="24" t="s">
        <v>29</v>
      </c>
    </row>
    <row r="19" spans="1:22" ht="36" customHeight="1" x14ac:dyDescent="0.2">
      <c r="A19" s="34" t="str">
        <f>IF(ISBLANK('Control Entry'!D59),"",'Control Entry'!D59)</f>
        <v/>
      </c>
      <c r="B19" s="35" t="str">
        <f>'Control Entry'!N59</f>
        <v/>
      </c>
      <c r="C19" s="35" t="str">
        <f>'Control Entry'!O59</f>
        <v/>
      </c>
      <c r="D19" s="36" t="str">
        <f>IF(ISBLANK('Control Entry'!E59),"",'Control Entry'!E59)</f>
        <v/>
      </c>
      <c r="E19" s="28" t="str">
        <f>IF(ISBLANK('Control Entry'!G59),"",'Control Entry'!G59)</f>
        <v/>
      </c>
      <c r="F19" s="84" t="str">
        <f>IF(ISBLANK('Control Entry'!J59),"",'Control Entry'!J59)</f>
        <v/>
      </c>
      <c r="G19" s="85"/>
      <c r="H19" s="24" t="s">
        <v>29</v>
      </c>
    </row>
    <row r="20" spans="1:22" ht="36" customHeight="1" thickBot="1" x14ac:dyDescent="0.25">
      <c r="A20" s="29"/>
      <c r="B20" s="30" t="str">
        <f>'Control Entry'!N59</f>
        <v/>
      </c>
      <c r="C20" s="30" t="str">
        <f>'Control Entry'!O59</f>
        <v/>
      </c>
      <c r="D20" s="31"/>
      <c r="E20" s="32" t="str">
        <f>IF(ISBLANK('Control Entry'!H59),"",'Control Entry'!H59)</f>
        <v/>
      </c>
      <c r="F20" s="88" t="str">
        <f>IF(ISBLANK('Control Entry'!K59),"",'Control Entry'!K59)</f>
        <v/>
      </c>
      <c r="G20" s="87"/>
      <c r="H20" s="24" t="s">
        <v>29</v>
      </c>
      <c r="J20" s="50" t="s">
        <v>44</v>
      </c>
      <c r="K20" s="50"/>
      <c r="L20" s="135" t="str">
        <f>IF(ISBLANK('Control Entry'!B12),"",'Control Entry'!B12)</f>
        <v/>
      </c>
      <c r="M20" s="135"/>
      <c r="N20" s="135"/>
      <c r="P20" s="15" t="s">
        <v>0</v>
      </c>
      <c r="Q20" s="15"/>
      <c r="S20" s="112">
        <f>IF(ISBLANK('Control Entry'!B13),"",'Control Entry'!B13)</f>
        <v>0</v>
      </c>
      <c r="T20" s="112"/>
      <c r="U20" s="112"/>
    </row>
    <row r="21" spans="1:22" ht="36" customHeight="1" x14ac:dyDescent="0.2">
      <c r="A21" s="25"/>
      <c r="B21" s="26" t="str">
        <f>'Control Entry'!N60</f>
        <v/>
      </c>
      <c r="C21" s="26" t="str">
        <f>'Control Entry'!O60</f>
        <v/>
      </c>
      <c r="D21" s="33"/>
      <c r="E21" s="28" t="str">
        <f>IF(ISBLANK('Control Entry'!F60),"",'Control Entry'!F60)</f>
        <v/>
      </c>
      <c r="F21" s="84" t="str">
        <f>IF(ISBLANK('Control Entry'!I60),"",'Control Entry'!I60)</f>
        <v/>
      </c>
      <c r="G21" s="85"/>
      <c r="H21" s="24" t="s">
        <v>29</v>
      </c>
      <c r="J21" s="114" t="s">
        <v>90</v>
      </c>
      <c r="K21" s="114"/>
      <c r="L21" s="114"/>
      <c r="M21" s="114"/>
      <c r="N21" s="114"/>
      <c r="O21" s="114"/>
      <c r="P21" s="114"/>
      <c r="Q21" s="114"/>
      <c r="R21" s="114"/>
      <c r="S21" s="114"/>
      <c r="T21" s="114"/>
      <c r="U21" s="114"/>
    </row>
    <row r="22" spans="1:22" ht="36" customHeight="1" thickBot="1" x14ac:dyDescent="0.25">
      <c r="A22" s="34" t="str">
        <f>IF(ISBLANK('Control Entry'!D60),"",'Control Entry'!D60)</f>
        <v/>
      </c>
      <c r="B22" s="35" t="str">
        <f>'Control Entry'!N60</f>
        <v/>
      </c>
      <c r="C22" s="35" t="str">
        <f>'Control Entry'!O60</f>
        <v/>
      </c>
      <c r="D22" s="36" t="str">
        <f>IF(ISBLANK('Control Entry'!E60),"",'Control Entry'!E60)</f>
        <v/>
      </c>
      <c r="E22" s="28" t="str">
        <f>IF(ISBLANK('Control Entry'!G60),"",'Control Entry'!G60)</f>
        <v/>
      </c>
      <c r="F22" s="84" t="str">
        <f>IF(ISBLANK('Control Entry'!J60),"",'Control Entry'!J60)</f>
        <v/>
      </c>
      <c r="G22" s="85"/>
      <c r="H22" s="24" t="s">
        <v>29</v>
      </c>
      <c r="J22" s="15" t="s">
        <v>45</v>
      </c>
      <c r="K22" s="15"/>
      <c r="M22" s="115"/>
      <c r="N22" s="115"/>
      <c r="O22" s="115"/>
      <c r="P22" s="15" t="s">
        <v>1</v>
      </c>
      <c r="Q22" s="15"/>
      <c r="S22" s="115"/>
      <c r="T22" s="115"/>
      <c r="U22" s="115"/>
    </row>
    <row r="23" spans="1:22" ht="36" customHeight="1" thickBot="1" x14ac:dyDescent="0.25">
      <c r="A23" s="29"/>
      <c r="B23" s="30" t="str">
        <f>'Control Entry'!N60</f>
        <v/>
      </c>
      <c r="C23" s="30" t="str">
        <f>'Control Entry'!O60</f>
        <v/>
      </c>
      <c r="D23" s="31"/>
      <c r="E23" s="32" t="str">
        <f>IF(ISBLANK('Control Entry'!H60),"",'Control Entry'!H60)</f>
        <v/>
      </c>
      <c r="F23" s="88" t="str">
        <f>IF(ISBLANK('Control Entry'!K60),"",'Control Entry'!K60)</f>
        <v/>
      </c>
      <c r="G23" s="87"/>
      <c r="H23" s="24" t="s">
        <v>29</v>
      </c>
      <c r="J23" s="50"/>
      <c r="K23" s="50"/>
      <c r="L23" s="44"/>
      <c r="M23" s="44"/>
      <c r="N23" s="44"/>
      <c r="P23" s="15"/>
      <c r="Q23" s="15"/>
    </row>
    <row r="24" spans="1:22" ht="36" customHeight="1" thickBot="1" x14ac:dyDescent="0.25">
      <c r="A24" s="25"/>
      <c r="B24" s="26" t="str">
        <f>'Control Entry'!N61</f>
        <v/>
      </c>
      <c r="C24" s="26" t="str">
        <f>'Control Entry'!O61</f>
        <v/>
      </c>
      <c r="D24" s="33"/>
      <c r="E24" s="28" t="str">
        <f>IF(ISBLANK('Control Entry'!F61),"",'Control Entry'!F61)</f>
        <v/>
      </c>
      <c r="F24" s="84" t="str">
        <f>IF(ISBLANK('Control Entry'!I61),"",'Control Entry'!I61)</f>
        <v/>
      </c>
      <c r="G24" s="85"/>
      <c r="H24" s="24" t="s">
        <v>29</v>
      </c>
      <c r="J24" s="115"/>
      <c r="K24" s="115"/>
      <c r="L24" s="115"/>
      <c r="M24" s="115"/>
      <c r="N24" s="115"/>
      <c r="P24" s="15" t="s">
        <v>2</v>
      </c>
      <c r="Q24" s="15"/>
      <c r="S24" s="115"/>
      <c r="T24" s="115"/>
      <c r="U24" s="115"/>
    </row>
    <row r="25" spans="1:22" ht="36" customHeight="1" x14ac:dyDescent="0.2">
      <c r="A25" s="34" t="str">
        <f>IF(ISBLANK('Control Entry'!D61),"",'Control Entry'!D61)</f>
        <v/>
      </c>
      <c r="B25" s="35" t="str">
        <f>'Control Entry'!N61</f>
        <v/>
      </c>
      <c r="C25" s="35" t="str">
        <f>'Control Entry'!O61</f>
        <v/>
      </c>
      <c r="D25" s="36" t="str">
        <f>IF(ISBLANK('Control Entry'!E61),"",'Control Entry'!E61)</f>
        <v/>
      </c>
      <c r="E25" s="28" t="str">
        <f>IF(ISBLANK('Control Entry'!G61),"",'Control Entry'!G61)</f>
        <v/>
      </c>
      <c r="F25" s="84" t="str">
        <f>IF(ISBLANK('Control Entry'!J61),"",'Control Entry'!J61)</f>
        <v/>
      </c>
      <c r="G25" s="85"/>
      <c r="H25" s="24" t="s">
        <v>29</v>
      </c>
      <c r="J25" s="110" t="s">
        <v>17</v>
      </c>
      <c r="K25" s="110"/>
      <c r="L25" s="110"/>
      <c r="M25" s="110"/>
      <c r="N25" s="110"/>
      <c r="O25" s="46"/>
      <c r="P25" s="109"/>
      <c r="Q25" s="109"/>
      <c r="R25" s="46"/>
      <c r="S25" s="107"/>
      <c r="T25" s="107"/>
      <c r="U25" s="107"/>
      <c r="V25" s="107"/>
    </row>
    <row r="26" spans="1:22" ht="36" customHeight="1" thickBot="1" x14ac:dyDescent="0.25">
      <c r="A26" s="29"/>
      <c r="B26" s="30" t="str">
        <f>'Control Entry'!N61</f>
        <v/>
      </c>
      <c r="C26" s="30" t="str">
        <f>'Control Entry'!O61</f>
        <v/>
      </c>
      <c r="D26" s="31"/>
      <c r="E26" s="32" t="str">
        <f>IF(ISBLANK('Control Entry'!H61),"",'Control Entry'!H61)</f>
        <v/>
      </c>
      <c r="F26" s="88" t="str">
        <f>IF(ISBLANK('Control Entry'!K61),"",'Control Entry'!K61)</f>
        <v/>
      </c>
      <c r="G26" s="87"/>
      <c r="H26" s="24" t="s">
        <v>29</v>
      </c>
    </row>
    <row r="27" spans="1:22" ht="36" customHeight="1" x14ac:dyDescent="0.2">
      <c r="A27" s="25"/>
      <c r="B27" s="26" t="str">
        <f>'Control Entry'!N62</f>
        <v/>
      </c>
      <c r="C27" s="26" t="str">
        <f>'Control Entry'!O62</f>
        <v/>
      </c>
      <c r="D27" s="33"/>
      <c r="E27" s="28" t="str">
        <f>IF(ISBLANK('Control Entry'!F62),"",'Control Entry'!F62)</f>
        <v/>
      </c>
      <c r="F27" s="84" t="str">
        <f>IF(ISBLANK('Control Entry'!I62),"",'Control Entry'!I62)</f>
        <v/>
      </c>
      <c r="G27" s="85"/>
      <c r="H27" s="24" t="s">
        <v>29</v>
      </c>
      <c r="K27" s="108" t="s">
        <v>56</v>
      </c>
      <c r="L27" s="109"/>
      <c r="M27" s="45" t="s">
        <v>57</v>
      </c>
      <c r="N27" s="109" t="s">
        <v>49</v>
      </c>
      <c r="O27" s="109"/>
      <c r="P27" s="109" t="s">
        <v>50</v>
      </c>
      <c r="Q27" s="109"/>
      <c r="R27" s="46" t="s">
        <v>51</v>
      </c>
      <c r="S27" s="107" t="s">
        <v>52</v>
      </c>
      <c r="T27" s="107"/>
      <c r="U27" s="107" t="s">
        <v>53</v>
      </c>
      <c r="V27" s="107"/>
    </row>
    <row r="28" spans="1:22" ht="36" customHeight="1" x14ac:dyDescent="0.2">
      <c r="A28" s="34" t="str">
        <f>IF(ISBLANK('Control Entry'!D62),"",'Control Entry'!D62)</f>
        <v/>
      </c>
      <c r="B28" s="35" t="str">
        <f>'Control Entry'!N62</f>
        <v/>
      </c>
      <c r="C28" s="35" t="str">
        <f>'Control Entry'!O62</f>
        <v/>
      </c>
      <c r="D28" s="36" t="str">
        <f>IF(ISBLANK('Control Entry'!E62),"",'Control Entry'!E62)</f>
        <v/>
      </c>
      <c r="E28" s="28" t="str">
        <f>IF(ISBLANK('Control Entry'!G62),"",'Control Entry'!G62)</f>
        <v/>
      </c>
      <c r="F28" s="84" t="str">
        <f>IF(ISBLANK('Control Entry'!J62),"",'Control Entry'!J62)</f>
        <v/>
      </c>
      <c r="G28" s="85"/>
      <c r="H28" s="24" t="s">
        <v>29</v>
      </c>
    </row>
    <row r="29" spans="1:22" ht="36" customHeight="1" thickBot="1" x14ac:dyDescent="0.25">
      <c r="A29" s="29"/>
      <c r="B29" s="30" t="str">
        <f>'Control Entry'!N62</f>
        <v/>
      </c>
      <c r="C29" s="30" t="str">
        <f>'Control Entry'!O62</f>
        <v/>
      </c>
      <c r="D29" s="31"/>
      <c r="E29" s="32" t="str">
        <f>IF(ISBLANK('Control Entry'!H62),"",'Control Entry'!H62)</f>
        <v/>
      </c>
      <c r="F29" s="88" t="str">
        <f>IF(ISBLANK('Control Entry'!K62),"",'Control Entry'!K62)</f>
        <v/>
      </c>
      <c r="G29" s="87"/>
      <c r="H29" s="24" t="s">
        <v>29</v>
      </c>
      <c r="M29" s="136" t="s">
        <v>42</v>
      </c>
      <c r="N29" s="136"/>
      <c r="O29" s="136"/>
      <c r="P29" s="136"/>
      <c r="Q29" s="136"/>
      <c r="R29" s="136"/>
      <c r="S29" s="136"/>
      <c r="T29" s="136"/>
      <c r="U29" s="49"/>
    </row>
    <row r="30" spans="1:22" ht="36" customHeight="1" x14ac:dyDescent="0.2">
      <c r="A30" s="25"/>
      <c r="B30" s="26" t="str">
        <f>'Control Entry'!N63</f>
        <v/>
      </c>
      <c r="C30" s="26" t="str">
        <f>'Control Entry'!O63</f>
        <v/>
      </c>
      <c r="D30" s="33"/>
      <c r="E30" s="28" t="str">
        <f>IF(ISBLANK('Control Entry'!F63),"",'Control Entry'!F63)</f>
        <v/>
      </c>
      <c r="F30" s="84" t="str">
        <f>IF(ISBLANK('Control Entry'!I63),"",'Control Entry'!I63)</f>
        <v/>
      </c>
      <c r="G30" s="85"/>
      <c r="H30" s="24" t="s">
        <v>29</v>
      </c>
      <c r="M30" s="16"/>
      <c r="N30" s="18"/>
      <c r="O30" s="18"/>
      <c r="P30" s="19"/>
      <c r="Q30" s="16"/>
      <c r="R30" s="18"/>
      <c r="S30" s="18"/>
      <c r="T30" s="19"/>
    </row>
    <row r="31" spans="1:22" ht="36" customHeight="1" x14ac:dyDescent="0.2">
      <c r="A31" s="34" t="str">
        <f>IF(ISBLANK('Control Entry'!D63),"",'Control Entry'!D63)</f>
        <v/>
      </c>
      <c r="B31" s="35" t="str">
        <f>'Control Entry'!N63</f>
        <v/>
      </c>
      <c r="C31" s="35" t="str">
        <f>'Control Entry'!O63</f>
        <v/>
      </c>
      <c r="D31" s="36" t="str">
        <f>IF(ISBLANK('Control Entry'!E63),"",'Control Entry'!E63)</f>
        <v/>
      </c>
      <c r="E31" s="28" t="str">
        <f>IF(ISBLANK('Control Entry'!G63),"",'Control Entry'!G63)</f>
        <v/>
      </c>
      <c r="F31" s="84" t="str">
        <f>IF(ISBLANK('Control Entry'!J63),"",'Control Entry'!J63)</f>
        <v/>
      </c>
      <c r="G31" s="85"/>
      <c r="H31" s="24" t="s">
        <v>29</v>
      </c>
      <c r="M31" s="17"/>
      <c r="P31" s="20"/>
      <c r="Q31" s="17"/>
      <c r="T31" s="20"/>
    </row>
    <row r="32" spans="1:22" ht="36" customHeight="1" thickBot="1" x14ac:dyDescent="0.25">
      <c r="A32" s="29"/>
      <c r="B32" s="30" t="str">
        <f>'Control Entry'!N63</f>
        <v/>
      </c>
      <c r="C32" s="30" t="str">
        <f>'Control Entry'!O63</f>
        <v/>
      </c>
      <c r="D32" s="31"/>
      <c r="E32" s="32" t="str">
        <f>IF(ISBLANK('Control Entry'!H63),"",'Control Entry'!H63)</f>
        <v/>
      </c>
      <c r="F32" s="88" t="str">
        <f>IF(ISBLANK('Control Entry'!K63),"",'Control Entry'!K63)</f>
        <v/>
      </c>
      <c r="G32" s="87"/>
      <c r="H32" s="24" t="s">
        <v>29</v>
      </c>
      <c r="M32" s="128" t="s">
        <v>82</v>
      </c>
      <c r="N32" s="129"/>
      <c r="O32" s="129"/>
      <c r="P32" s="130"/>
      <c r="Q32" s="131">
        <f>'Control Entry'!B3</f>
        <v>44700</v>
      </c>
      <c r="R32" s="132"/>
      <c r="S32" s="132"/>
      <c r="T32" s="133"/>
    </row>
    <row r="33" spans="1:22" ht="36" customHeight="1" x14ac:dyDescent="0.2">
      <c r="A33" s="123" t="s">
        <v>43</v>
      </c>
      <c r="B33" s="123"/>
      <c r="C33" s="123"/>
      <c r="D33" s="123"/>
      <c r="E33" s="123"/>
      <c r="F33" s="123"/>
      <c r="G33" s="123"/>
      <c r="H33" s="37"/>
      <c r="I33" s="37"/>
      <c r="M33" s="137" t="s">
        <v>86</v>
      </c>
      <c r="N33" s="138"/>
      <c r="O33" s="138"/>
      <c r="P33" s="138"/>
      <c r="Q33" s="139">
        <f>'Control Entry'!B4</f>
        <v>44870</v>
      </c>
      <c r="R33" s="126"/>
      <c r="S33" s="126"/>
      <c r="T33" s="126"/>
      <c r="U33" s="81"/>
      <c r="V33" s="44"/>
    </row>
    <row r="34" spans="1:22" ht="36" customHeight="1" x14ac:dyDescent="0.2">
      <c r="A34"/>
      <c r="O34" s="15"/>
      <c r="P34" s="15"/>
      <c r="Q34" s="15"/>
      <c r="R34" s="42"/>
    </row>
    <row r="35" spans="1:22" ht="36" customHeight="1" x14ac:dyDescent="0.2">
      <c r="A35"/>
      <c r="N35" s="136"/>
      <c r="O35" s="136"/>
      <c r="P35" s="136"/>
      <c r="Q35" s="136"/>
      <c r="R35" s="136"/>
      <c r="S35" s="136"/>
      <c r="T35" s="136"/>
      <c r="U35" s="136"/>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A33:G33"/>
    <mergeCell ref="M33:P33"/>
    <mergeCell ref="Q33:T33"/>
    <mergeCell ref="N35:U35"/>
    <mergeCell ref="K27:L27"/>
    <mergeCell ref="N27:O27"/>
    <mergeCell ref="P27:Q27"/>
    <mergeCell ref="S27:T27"/>
    <mergeCell ref="U27:V27"/>
    <mergeCell ref="M29:T29"/>
    <mergeCell ref="M32:P32"/>
    <mergeCell ref="Q32:T32"/>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J21:U21"/>
    <mergeCell ref="L11:N11"/>
    <mergeCell ref="S11:U11"/>
    <mergeCell ref="A1:G1"/>
    <mergeCell ref="K2:U2"/>
    <mergeCell ref="O3:R3"/>
    <mergeCell ref="M4:T4"/>
    <mergeCell ref="N5:O5"/>
    <mergeCell ref="R5:U5"/>
    <mergeCell ref="L6:U6"/>
    <mergeCell ref="L8:Q8"/>
    <mergeCell ref="T8:U8"/>
    <mergeCell ref="L9:U9"/>
    <mergeCell ref="L10:U10"/>
  </mergeCells>
  <conditionalFormatting sqref="K27:V27">
    <cfRule type="expression" dxfId="6" priority="7">
      <formula>$S$3="#2"</formula>
    </cfRule>
    <cfRule type="expression" dxfId="5" priority="8">
      <formula>$S$3="#4"</formula>
    </cfRule>
  </conditionalFormatting>
  <conditionalFormatting sqref="P22:U24">
    <cfRule type="expression" dxfId="4" priority="5">
      <formula>$S$3="#2"</formula>
    </cfRule>
    <cfRule type="expression" dxfId="3" priority="6">
      <formula>$S$3="#4"</formula>
    </cfRule>
  </conditionalFormatting>
  <conditionalFormatting sqref="J22:O22">
    <cfRule type="expression" dxfId="2" priority="3">
      <formula>$S$3="#2"</formula>
    </cfRule>
    <cfRule type="expression" dxfId="1" priority="4">
      <formula>$S$3="#4"</formula>
    </cfRule>
  </conditionalFormatting>
  <conditionalFormatting sqref="J21:U21">
    <cfRule type="expression" dxfId="0" priority="2">
      <formula>AND($S$3&lt;&gt;"#2",$S$3&lt;&gt;"#4")</formula>
    </cfRule>
  </conditionalFormatting>
  <printOptions horizontalCentered="1" verticalCentered="1"/>
  <pageMargins left="0.2" right="0.2" top="0.2" bottom="0.2" header="0.51" footer="0.51"/>
  <pageSetup scale="44"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Control Entry</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Microsoft Office User</cp:lastModifiedBy>
  <cp:lastPrinted>2022-10-07T02:55:23Z</cp:lastPrinted>
  <dcterms:created xsi:type="dcterms:W3CDTF">1997-11-12T04:43:39Z</dcterms:created>
  <dcterms:modified xsi:type="dcterms:W3CDTF">2023-02-12T19:44:14Z</dcterms:modified>
</cp:coreProperties>
</file>