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1"/>
  <workbookPr showInkAnnotation="0" autoCompressPictures="0"/>
  <mc:AlternateContent xmlns:mc="http://schemas.openxmlformats.org/markup-compatibility/2006">
    <mc:Choice Requires="x15">
      <x15ac:absPath xmlns:x15ac="http://schemas.microsoft.com/office/spreadsheetml/2010/11/ac" url="/Users/Eric/Desktop/"/>
    </mc:Choice>
  </mc:AlternateContent>
  <xr:revisionPtr revIDLastSave="0" documentId="13_ncr:1_{DECF02A8-734C-C746-A88A-8D558E9AE418}" xr6:coauthVersionLast="47" xr6:coauthVersionMax="47" xr10:uidLastSave="{00000000-0000-0000-0000-000000000000}"/>
  <bookViews>
    <workbookView xWindow="0" yWindow="500" windowWidth="25600" windowHeight="15540" tabRatio="509" activeTab="1" xr2:uid="{00000000-000D-0000-FFFF-FFFF00000000}"/>
  </bookViews>
  <sheets>
    <sheet name="Control Entry" sheetId="1" r:id="rId1"/>
    <sheet name="Control Card #1" sheetId="2" r:id="rId2"/>
    <sheet name="Control Card #2" sheetId="3" r:id="rId3"/>
    <sheet name="Control Card #3" sheetId="4" r:id="rId4"/>
  </sheets>
  <definedNames>
    <definedName name="Address_1" localSheetId="2">#REF!</definedName>
    <definedName name="Address_1" localSheetId="3">#REF!</definedName>
    <definedName name="Address_1">#REF!</definedName>
    <definedName name="Address_2" localSheetId="2">#REF!</definedName>
    <definedName name="Address_2" localSheetId="3">#REF!</definedName>
    <definedName name="Address_2">#REF!</definedName>
    <definedName name="brevet">'Control Entry'!$C$5</definedName>
    <definedName name="Brevet_Description">'Control Entry'!$B$7</definedName>
    <definedName name="Brevet_Length">'Control Entry'!$B$5</definedName>
    <definedName name="Brevet_Number">'Control Entry'!$B$8</definedName>
    <definedName name="City" localSheetId="2">#REF!</definedName>
    <definedName name="City" localSheetId="3">#REF!</definedName>
    <definedName name="City">#REF!</definedName>
    <definedName name="Close">'Control Entry'!$M$14:$M$23</definedName>
    <definedName name="Close_time">'Control Entry'!$O$14:$O$23</definedName>
    <definedName name="Control_1">'Control Entry'!$D$14:$O$14</definedName>
    <definedName name="Control_10">'Control Entry'!$D$23:$O$23</definedName>
    <definedName name="Control_11" localSheetId="2">'Control Entry'!#REF!</definedName>
    <definedName name="Control_11" localSheetId="3">'Control Entry'!#REF!</definedName>
    <definedName name="Control_11">'Control Entry'!#REF!</definedName>
    <definedName name="Control_12" localSheetId="2">'Control Entry'!#REF!</definedName>
    <definedName name="Control_12" localSheetId="3">'Control Entry'!#REF!</definedName>
    <definedName name="Control_12">'Control Entry'!#REF!</definedName>
    <definedName name="Control_13" localSheetId="2">'Control Entry'!#REF!</definedName>
    <definedName name="Control_13" localSheetId="3">'Control Entry'!#REF!</definedName>
    <definedName name="Control_13">'Control Entry'!#REF!</definedName>
    <definedName name="Control_14" localSheetId="2">'Control Entry'!#REF!</definedName>
    <definedName name="Control_14" localSheetId="3">'Control Entry'!#REF!</definedName>
    <definedName name="Control_14">'Control Entry'!#REF!</definedName>
    <definedName name="Control_15" localSheetId="2">'Control Entry'!#REF!</definedName>
    <definedName name="Control_15" localSheetId="3">'Control Entry'!#REF!</definedName>
    <definedName name="Control_15">'Control Entry'!#REF!</definedName>
    <definedName name="Control_16" localSheetId="2">'Control Entry'!#REF!</definedName>
    <definedName name="Control_16" localSheetId="3">'Control Entry'!#REF!</definedName>
    <definedName name="Control_16">'Control Entry'!#REF!</definedName>
    <definedName name="Control_17" localSheetId="2">'Control Entry'!#REF!</definedName>
    <definedName name="Control_17" localSheetId="3">'Control Entry'!#REF!</definedName>
    <definedName name="Control_17">'Control Entry'!#REF!</definedName>
    <definedName name="Control_18" localSheetId="2">'Control Entry'!#REF!</definedName>
    <definedName name="Control_18" localSheetId="3">'Control Entry'!#REF!</definedName>
    <definedName name="Control_18">'Control Entry'!#REF!</definedName>
    <definedName name="Control_19" localSheetId="2">'Control Entry'!#REF!</definedName>
    <definedName name="Control_19" localSheetId="3">'Control Entry'!#REF!</definedName>
    <definedName name="Control_19">'Control Entry'!#REF!</definedName>
    <definedName name="Control_2">'Control Entry'!$D$15:$O$15</definedName>
    <definedName name="Control_20" localSheetId="2">'Control Entry'!#REF!</definedName>
    <definedName name="Control_20" localSheetId="3">'Control Entry'!#REF!</definedName>
    <definedName name="Control_20">'Control Entry'!#REF!</definedName>
    <definedName name="Control_3">'Control Entry'!$D$16:$O$16</definedName>
    <definedName name="Control_4">'Control Entry'!$D$17:$O$17</definedName>
    <definedName name="Control_5">'Control Entry'!$D$18:$O$18</definedName>
    <definedName name="Control_6">'Control Entry'!$D$19:$O$19</definedName>
    <definedName name="Control_7">'Control Entry'!$D$20:$O$20</definedName>
    <definedName name="Control_8">'Control Entry'!$D$21:$O$21</definedName>
    <definedName name="Control_9">'Control Entry'!$D$22:$O$22</definedName>
    <definedName name="Country" localSheetId="2">#REF!</definedName>
    <definedName name="Country" localSheetId="3">#REF!</definedName>
    <definedName name="Country">#REF!</definedName>
    <definedName name="Distance">'Control Entry'!$D$14:$D$23</definedName>
    <definedName name="email" localSheetId="2">#REF!</definedName>
    <definedName name="email" localSheetId="3">#REF!</definedName>
    <definedName name="email">#REF!</definedName>
    <definedName name="Establishment_1">'Control Entry'!$F$14:$F$23</definedName>
    <definedName name="Establishment_2">'Control Entry'!$G$14:$G$23</definedName>
    <definedName name="Establishment_3">'Control Entry'!$H$14:$H$23</definedName>
    <definedName name="Fax" localSheetId="2">#REF!</definedName>
    <definedName name="Fax" localSheetId="3">#REF!</definedName>
    <definedName name="Fax">#REF!</definedName>
    <definedName name="First_Name" localSheetId="2">#REF!</definedName>
    <definedName name="First_Name" localSheetId="3">#REF!</definedName>
    <definedName name="First_Name">#REF!</definedName>
    <definedName name="Home_telephone" localSheetId="2">#REF!</definedName>
    <definedName name="Home_telephone" localSheetId="3">#REF!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#REF!</definedName>
    <definedName name="Locale">'Control Entry'!$E$14:$E$23</definedName>
    <definedName name="Max_time">'Control Entry'!$B$6</definedName>
    <definedName name="Open">'Control Entry'!$L$14:$L$23</definedName>
    <definedName name="Open_time">'Control Entry'!$N$14:$N$23</definedName>
    <definedName name="Postal_Code" localSheetId="2">#REF!</definedName>
    <definedName name="Postal_Code" localSheetId="3">#REF!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Province_State" localSheetId="2">#REF!</definedName>
    <definedName name="Province_State" localSheetId="3">#REF!</definedName>
    <definedName name="Province_State">#REF!</definedName>
    <definedName name="Start_date">'Control Entry'!$B$11</definedName>
    <definedName name="Start_time">'Control Entry'!$B$12</definedName>
    <definedName name="surname" localSheetId="2">#REF!</definedName>
    <definedName name="surname" localSheetId="3">#REF!</definedName>
    <definedName name="surname">#REF!</definedName>
    <definedName name="Work_telephone" localSheetId="2">#REF!</definedName>
    <definedName name="Work_telephone" localSheetId="3">#REF!</definedName>
    <definedName name="Work_telephon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41" i="1" l="1"/>
  <c r="M42" i="1"/>
  <c r="M43" i="1"/>
  <c r="M44" i="1"/>
  <c r="M45" i="1"/>
  <c r="M46" i="1"/>
  <c r="M47" i="1"/>
  <c r="M48" i="1"/>
  <c r="M49" i="1"/>
  <c r="M40" i="1"/>
  <c r="M28" i="1"/>
  <c r="M29" i="1"/>
  <c r="M30" i="1"/>
  <c r="M31" i="1"/>
  <c r="M32" i="1"/>
  <c r="M33" i="1"/>
  <c r="M34" i="1"/>
  <c r="M35" i="1"/>
  <c r="M36" i="1"/>
  <c r="M27" i="1"/>
  <c r="M20" i="1"/>
  <c r="M21" i="1"/>
  <c r="M22" i="1"/>
  <c r="M23" i="1"/>
  <c r="M19" i="1"/>
  <c r="M18" i="1"/>
  <c r="M17" i="1"/>
  <c r="M16" i="1"/>
  <c r="M15" i="1"/>
  <c r="S20" i="4" l="1"/>
  <c r="L20" i="4"/>
  <c r="S20" i="3"/>
  <c r="L20" i="3"/>
  <c r="S20" i="2"/>
  <c r="L20" i="2"/>
  <c r="Q33" i="4"/>
  <c r="Q33" i="3"/>
  <c r="Q33" i="2"/>
  <c r="F32" i="4" l="1"/>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9" i="4"/>
  <c r="F18" i="4"/>
  <c r="E20" i="4"/>
  <c r="E19" i="4"/>
  <c r="E18" i="4"/>
  <c r="D19" i="4"/>
  <c r="A19" i="4"/>
  <c r="F17" i="4"/>
  <c r="F16" i="4"/>
  <c r="F15" i="4"/>
  <c r="E17" i="4"/>
  <c r="E16" i="4"/>
  <c r="E15" i="4"/>
  <c r="D16" i="4"/>
  <c r="A16" i="4"/>
  <c r="F13" i="4"/>
  <c r="F14" i="4"/>
  <c r="F12" i="4"/>
  <c r="E14" i="4"/>
  <c r="E13" i="4"/>
  <c r="E12" i="4"/>
  <c r="D13" i="4"/>
  <c r="A13" i="4"/>
  <c r="S3" i="4" l="1"/>
  <c r="S3" i="3"/>
  <c r="S3" i="2"/>
  <c r="A7" i="2"/>
  <c r="F11" i="4"/>
  <c r="F10" i="4"/>
  <c r="F9" i="4"/>
  <c r="E11" i="4"/>
  <c r="E10" i="4"/>
  <c r="E9" i="4"/>
  <c r="D10" i="4"/>
  <c r="A10" i="4"/>
  <c r="F8" i="4"/>
  <c r="F7" i="4"/>
  <c r="F6" i="4"/>
  <c r="E8" i="4"/>
  <c r="E7" i="4"/>
  <c r="E6" i="4"/>
  <c r="D7" i="4"/>
  <c r="A7" i="4"/>
  <c r="F5" i="4"/>
  <c r="F4" i="4"/>
  <c r="F3" i="4"/>
  <c r="E4" i="4"/>
  <c r="E3" i="4"/>
  <c r="D4" i="4"/>
  <c r="A4" i="4"/>
  <c r="O49" i="1" l="1"/>
  <c r="L49" i="1"/>
  <c r="N49" i="1" s="1"/>
  <c r="L48" i="1"/>
  <c r="L47" i="1"/>
  <c r="L46" i="1"/>
  <c r="L45" i="1"/>
  <c r="L44" i="1"/>
  <c r="L43" i="1"/>
  <c r="L42" i="1"/>
  <c r="L41" i="1"/>
  <c r="L40" i="1"/>
  <c r="F26" i="4"/>
  <c r="F25" i="4"/>
  <c r="F24" i="4"/>
  <c r="L6" i="4"/>
  <c r="R5" i="4"/>
  <c r="P5" i="4"/>
  <c r="E5" i="4"/>
  <c r="B30" i="4" l="1"/>
  <c r="B32" i="4"/>
  <c r="B31" i="4"/>
  <c r="C31" i="4"/>
  <c r="C30" i="4"/>
  <c r="C32" i="4"/>
  <c r="E8" i="3" l="1"/>
  <c r="E7" i="3"/>
  <c r="E5" i="3"/>
  <c r="F5" i="2" l="1"/>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4" i="1"/>
  <c r="N14" i="1" s="1"/>
  <c r="L36" i="1"/>
  <c r="L35" i="1"/>
  <c r="L34" i="1"/>
  <c r="L33" i="1"/>
  <c r="L32" i="1"/>
  <c r="L31" i="1"/>
  <c r="L30" i="1"/>
  <c r="L29" i="1"/>
  <c r="L28" i="1"/>
  <c r="L27"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5" i="1"/>
  <c r="E4" i="3"/>
  <c r="E3" i="3"/>
  <c r="D31" i="3"/>
  <c r="D28" i="3"/>
  <c r="D25" i="3"/>
  <c r="D22" i="3"/>
  <c r="D19" i="3"/>
  <c r="D16" i="3"/>
  <c r="D13" i="3"/>
  <c r="D10" i="3"/>
  <c r="D7" i="3"/>
  <c r="D4" i="3"/>
  <c r="A31" i="3"/>
  <c r="A28" i="3"/>
  <c r="A25" i="3"/>
  <c r="A22" i="3"/>
  <c r="A19" i="3"/>
  <c r="A16" i="3"/>
  <c r="A13" i="3"/>
  <c r="A10" i="3"/>
  <c r="A7" i="3"/>
  <c r="A4" i="3"/>
  <c r="L23" i="1"/>
  <c r="L22" i="1"/>
  <c r="L21" i="1"/>
  <c r="L20" i="1"/>
  <c r="L19" i="1"/>
  <c r="L18" i="1"/>
  <c r="L17" i="1"/>
  <c r="L16" i="1"/>
  <c r="L15" i="1"/>
  <c r="L6" i="3"/>
  <c r="R5" i="3"/>
  <c r="P5" i="3"/>
  <c r="M4"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B6" i="1"/>
  <c r="O45" i="1" l="1"/>
  <c r="O44" i="1"/>
  <c r="O42" i="1"/>
  <c r="O46" i="1"/>
  <c r="O47" i="1"/>
  <c r="O48" i="1"/>
  <c r="N47" i="1"/>
  <c r="N41" i="1"/>
  <c r="N46" i="1"/>
  <c r="N42" i="1"/>
  <c r="N44" i="1"/>
  <c r="N48" i="1"/>
  <c r="N45" i="1"/>
  <c r="N43" i="1"/>
  <c r="O41" i="1"/>
  <c r="N40" i="1"/>
  <c r="O43" i="1"/>
  <c r="O40" i="1"/>
  <c r="M4" i="4"/>
  <c r="O16" i="1"/>
  <c r="M14" i="1"/>
  <c r="O14" i="1" s="1"/>
  <c r="C3" i="2" s="1"/>
  <c r="N30" i="1"/>
  <c r="B4" i="2"/>
  <c r="O18" i="1"/>
  <c r="C17" i="2" s="1"/>
  <c r="N17" i="1"/>
  <c r="B14" i="2" s="1"/>
  <c r="O22" i="1"/>
  <c r="C27" i="2" s="1"/>
  <c r="N27" i="1"/>
  <c r="N33" i="1"/>
  <c r="O17" i="1"/>
  <c r="N21" i="1"/>
  <c r="B25" i="2" s="1"/>
  <c r="O33" i="1"/>
  <c r="B3" i="2"/>
  <c r="O19" i="1"/>
  <c r="O21" i="1"/>
  <c r="C26" i="2" s="1"/>
  <c r="O32" i="1"/>
  <c r="B5" i="2"/>
  <c r="N16" i="1"/>
  <c r="B11" i="2" s="1"/>
  <c r="N20" i="1"/>
  <c r="B22" i="2" s="1"/>
  <c r="N23" i="1"/>
  <c r="B31" i="2" s="1"/>
  <c r="N34" i="1"/>
  <c r="O36" i="1"/>
  <c r="N36" i="1"/>
  <c r="O23" i="1"/>
  <c r="C31" i="2" s="1"/>
  <c r="N15" i="1"/>
  <c r="B6" i="2" s="1"/>
  <c r="N19" i="1"/>
  <c r="B19" i="2" s="1"/>
  <c r="O20" i="1"/>
  <c r="C23" i="2" s="1"/>
  <c r="N28" i="1"/>
  <c r="N31" i="1"/>
  <c r="O15" i="1"/>
  <c r="N18" i="1"/>
  <c r="B17" i="2" s="1"/>
  <c r="N22" i="1"/>
  <c r="B27" i="2" s="1"/>
  <c r="N29" i="1"/>
  <c r="N32" i="1"/>
  <c r="N35" i="1"/>
  <c r="O29" i="1"/>
  <c r="O28" i="1"/>
  <c r="M4" i="2"/>
  <c r="O35" i="1"/>
  <c r="O31" i="1"/>
  <c r="O27" i="1"/>
  <c r="O34" i="1"/>
  <c r="O30" i="1"/>
  <c r="B13" i="4" l="1"/>
  <c r="B12" i="4"/>
  <c r="B14" i="4"/>
  <c r="B29" i="4"/>
  <c r="B28" i="4"/>
  <c r="B27" i="4"/>
  <c r="C15" i="4"/>
  <c r="C17" i="4"/>
  <c r="C16" i="4"/>
  <c r="B23" i="4"/>
  <c r="B22" i="4"/>
  <c r="B21" i="4"/>
  <c r="B17" i="4"/>
  <c r="B16" i="4"/>
  <c r="B15" i="4"/>
  <c r="B25" i="4"/>
  <c r="B24" i="4"/>
  <c r="B26" i="4"/>
  <c r="C29" i="4"/>
  <c r="C28" i="4"/>
  <c r="C27" i="4"/>
  <c r="C21" i="4"/>
  <c r="C23" i="4"/>
  <c r="C22" i="4"/>
  <c r="C4" i="2"/>
  <c r="C14" i="4"/>
  <c r="C13" i="4"/>
  <c r="C12" i="4"/>
  <c r="B19" i="4"/>
  <c r="B18" i="4"/>
  <c r="B20" i="4"/>
  <c r="C20" i="4"/>
  <c r="C19" i="4"/>
  <c r="C18" i="4"/>
  <c r="C26" i="4"/>
  <c r="C25" i="4"/>
  <c r="C24" i="4"/>
  <c r="C8" i="4"/>
  <c r="C7" i="4"/>
  <c r="C6" i="4"/>
  <c r="C10" i="4"/>
  <c r="C9" i="4"/>
  <c r="C11" i="4"/>
  <c r="B8" i="4"/>
  <c r="B7" i="4"/>
  <c r="B6" i="4"/>
  <c r="B9" i="4"/>
  <c r="B11" i="4"/>
  <c r="B10" i="4"/>
  <c r="B5" i="4"/>
  <c r="B4" i="4"/>
  <c r="B3" i="4"/>
  <c r="C3" i="4"/>
  <c r="C5" i="4"/>
  <c r="C4" i="4"/>
  <c r="C19" i="3"/>
  <c r="B21" i="3"/>
  <c r="B29" i="3"/>
  <c r="B6" i="3"/>
  <c r="B26" i="3"/>
  <c r="B5" i="3"/>
  <c r="B11" i="3"/>
  <c r="C23" i="3"/>
  <c r="B32" i="3"/>
  <c r="B16" i="3"/>
  <c r="C31" i="3"/>
  <c r="C5" i="2"/>
  <c r="B19" i="3"/>
  <c r="B14" i="3"/>
  <c r="B25" i="3"/>
  <c r="C16" i="2"/>
  <c r="B13" i="3"/>
  <c r="B12" i="3"/>
  <c r="B21" i="2"/>
  <c r="B26" i="2"/>
  <c r="C15" i="2"/>
  <c r="C30" i="3"/>
  <c r="B3" i="3"/>
  <c r="C25" i="2"/>
  <c r="B8" i="2"/>
  <c r="B12" i="2"/>
  <c r="B13" i="2"/>
  <c r="B22" i="3"/>
  <c r="B30" i="3"/>
  <c r="B27" i="3"/>
  <c r="B8" i="3"/>
  <c r="C29" i="2"/>
  <c r="B18" i="3"/>
  <c r="B29" i="2"/>
  <c r="B15" i="2"/>
  <c r="B31" i="3"/>
  <c r="B18" i="2"/>
  <c r="B10" i="3"/>
  <c r="B32" i="2"/>
  <c r="C28" i="2"/>
  <c r="C24" i="2"/>
  <c r="C30" i="2"/>
  <c r="B20" i="2"/>
  <c r="C22" i="3"/>
  <c r="B24" i="3"/>
  <c r="B28" i="3"/>
  <c r="B7" i="3"/>
  <c r="B4" i="3"/>
  <c r="B16" i="2"/>
  <c r="B7" i="2"/>
  <c r="C19" i="2"/>
  <c r="C18" i="2"/>
  <c r="C20" i="2"/>
  <c r="C13" i="2"/>
  <c r="C12" i="2"/>
  <c r="C14" i="2"/>
  <c r="B23" i="3"/>
  <c r="B9" i="2"/>
  <c r="B30" i="2"/>
  <c r="C32" i="2"/>
  <c r="B10" i="2"/>
  <c r="B9" i="3"/>
  <c r="B24" i="2"/>
  <c r="C21" i="3"/>
  <c r="C18" i="3"/>
  <c r="B20" i="3"/>
  <c r="C9" i="2"/>
  <c r="C10" i="2"/>
  <c r="B28" i="2"/>
  <c r="B23" i="2"/>
  <c r="B17" i="3"/>
  <c r="C8" i="2"/>
  <c r="C7" i="2"/>
  <c r="C22" i="2"/>
  <c r="C21" i="2"/>
  <c r="C11" i="2"/>
  <c r="C20" i="3"/>
  <c r="B15" i="3"/>
  <c r="C32" i="3"/>
  <c r="C6" i="2"/>
  <c r="C6" i="3"/>
  <c r="C7" i="3"/>
  <c r="C8" i="3"/>
  <c r="C11" i="3"/>
  <c r="C9" i="3"/>
  <c r="C10" i="3"/>
  <c r="C13" i="3"/>
  <c r="C14" i="3"/>
  <c r="C12" i="3"/>
  <c r="C4" i="3"/>
  <c r="C5" i="3"/>
  <c r="C3" i="3"/>
  <c r="C25" i="3"/>
  <c r="C26" i="3"/>
  <c r="C24" i="3"/>
  <c r="C15" i="3"/>
  <c r="C16" i="3"/>
  <c r="C17" i="3"/>
  <c r="C27" i="3"/>
  <c r="C28" i="3"/>
  <c r="C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5"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6" authorId="1" shapeId="0" xr:uid="{00000000-0006-0000-0000-000002000000}">
      <text>
        <r>
          <rPr>
            <sz val="8"/>
            <color rgb="FF000000"/>
            <rFont val="Tahoma"/>
            <family val="2"/>
          </rPr>
          <t>Autocalculated based on ACP specified times</t>
        </r>
      </text>
    </comment>
    <comment ref="B8"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9"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1"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2"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<sst xmlns="http://schemas.openxmlformats.org/spreadsheetml/2006/main" count="298" uniqueCount="99">
  <si>
    <t>DO NOT DELETE OR MOVE ROWS OR COLUMNS (delete contents of cells only)</t>
  </si>
  <si>
    <t>Scroll right to see further instructions</t>
  </si>
  <si>
    <t>You can create 3 control cards  (upto 30 controls) for one event, or 3 control cards (up to 10 controls) with different start loctions for a single event.  Put a distance greater than zero in the first distance field of card 2 or 3 to have a single event.  Put zero in the same distance field to create a new start location for the event.  Control Card #1 will only show '#1' if a distance, not zero, is entered into the first distance box for Control Card #2.  Similarly for Control Card #3</t>
  </si>
  <si>
    <t xml:space="preserve">Template Revised:  </t>
  </si>
  <si>
    <t>Brevet Length:</t>
  </si>
  <si>
    <t>Instructions</t>
  </si>
  <si>
    <t>Fill nominal brevet length.  This is the ACP distance eg 200, 300, 1000</t>
  </si>
  <si>
    <t>Maximum Time:</t>
  </si>
  <si>
    <t>Maximum allowable time automatically calculated</t>
  </si>
  <si>
    <t>Brevet Description:</t>
  </si>
  <si>
    <t>Cultus -Crescent-Cultus  Permanent</t>
  </si>
  <si>
    <t>Enter the brevet name eg 'Remembrance Day Brevet'</t>
  </si>
  <si>
    <t>Brevet Number:</t>
  </si>
  <si>
    <t>Enter the brevet number.  This is the BCR database number, and can be found on the event page in the database</t>
  </si>
  <si>
    <t>Schedule date:</t>
  </si>
  <si>
    <t>Enter the schedule date.  This is the official ACP listed date and can be found on the shcedule on the website</t>
  </si>
  <si>
    <t>Start Date:</t>
  </si>
  <si>
    <t>Enter the start date.  This will be the same as the schedule date, exceot for pre-rides or unless a ride window has been enabled.</t>
  </si>
  <si>
    <t>Start Time:</t>
  </si>
  <si>
    <t>Control Card #1</t>
  </si>
  <si>
    <t>Control Card #1 Information Control Question (optional)</t>
  </si>
  <si>
    <t>Enter the start time.  This will be the official ACP listed start time found on the event page, unless a ride window has been enabled.</t>
  </si>
  <si>
    <t>Distance</t>
  </si>
  <si>
    <t>Locale</t>
  </si>
  <si>
    <t>Establishment 1</t>
  </si>
  <si>
    <t>Establishment 2</t>
  </si>
  <si>
    <t>Establishment 3</t>
  </si>
  <si>
    <t>Signature/Answer 1</t>
  </si>
  <si>
    <t>Signature/Answer 2</t>
  </si>
  <si>
    <t>Signature/Answer 3</t>
  </si>
  <si>
    <t>Open</t>
  </si>
  <si>
    <t>Close</t>
  </si>
  <si>
    <t>Open time</t>
  </si>
  <si>
    <t>Close time</t>
  </si>
  <si>
    <t>Fill in the control distance.  The opening and closing times will be automatically calculated based on the start time and the brevet distance.  If you need more than 10 controls, use card #2, otherwise leave that section blank.</t>
  </si>
  <si>
    <t>Control 1</t>
  </si>
  <si>
    <t xml:space="preserve">Cultus Lake Rd/Sunnyside Rd </t>
  </si>
  <si>
    <t>Esso Station</t>
  </si>
  <si>
    <t>Fill in the Locale (city) for each control.  Establishment 1, 2, and 3 can be used to describe the control itself eg Locale HOPE  Est.1 Dairy Queen Est.2 817 Water Ave Est. 3 (left blank)</t>
  </si>
  <si>
    <t>Control 2</t>
  </si>
  <si>
    <t>Inter. of Sumas Hwy/2nd Ave.</t>
  </si>
  <si>
    <t>House address on NE corner?</t>
  </si>
  <si>
    <t>When using information controls, you can put your question in the Signature/Answer section eg Sig/Ans.1 Sign on main door  Sig/Ans. 2  This week's special is?  Sig/Ans. 3 ________________</t>
  </si>
  <si>
    <t>Control 3</t>
  </si>
  <si>
    <t>Inter. of 128St/Crescent Rd</t>
  </si>
  <si>
    <t>Brand of Gas Station on corner?</t>
  </si>
  <si>
    <t>Control 4</t>
  </si>
  <si>
    <t>Derby Reach Histrict House</t>
  </si>
  <si>
    <t>First word, bottom line on entrance sign is</t>
  </si>
  <si>
    <t>_____________AREA</t>
  </si>
  <si>
    <t>Control 5</t>
  </si>
  <si>
    <t>Inter of Harris &amp; Riverside Rds</t>
  </si>
  <si>
    <t>Control 6</t>
  </si>
  <si>
    <t xml:space="preserve">Esso Station </t>
  </si>
  <si>
    <t>Control 7</t>
  </si>
  <si>
    <t>Control 8</t>
  </si>
  <si>
    <t>Control 9</t>
  </si>
  <si>
    <t>Control 10</t>
  </si>
  <si>
    <t>Control Card #2</t>
  </si>
  <si>
    <t>Control Card #2 Information Control Question (optional)</t>
  </si>
  <si>
    <t>Control Card #3</t>
  </si>
  <si>
    <t>Control Card #3 Information Control Question (optional)</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</si>
  <si>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</si>
  <si>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t>
  </si>
  <si>
    <t>DIST (km)</t>
  </si>
  <si>
    <t>Establishment</t>
  </si>
  <si>
    <t>Signature/Answer</t>
  </si>
  <si>
    <t>Time of Passage</t>
  </si>
  <si>
    <t>Founding member of LES RANDONNEURS MONDIAUX (1983)</t>
  </si>
  <si>
    <t>Control Card</t>
  </si>
  <si>
    <t xml:space="preserve">Brevet No. </t>
  </si>
  <si>
    <t>Name</t>
  </si>
  <si>
    <t>Member #</t>
  </si>
  <si>
    <t>Address</t>
  </si>
  <si>
    <t>(only add if change needed to database)</t>
  </si>
  <si>
    <t>City</t>
  </si>
  <si>
    <t>Province/State</t>
  </si>
  <si>
    <t>Country</t>
  </si>
  <si>
    <t>Postal Code</t>
  </si>
  <si>
    <t>Telephone</t>
  </si>
  <si>
    <t>email</t>
  </si>
  <si>
    <t>Ride Day Emergency Contact</t>
  </si>
  <si>
    <t>Start Date</t>
  </si>
  <si>
    <t>Start time</t>
  </si>
  <si>
    <t>Finish Date</t>
  </si>
  <si>
    <t>Finish time</t>
  </si>
  <si>
    <t>Elapsed time</t>
  </si>
  <si>
    <t>Rider's signature at completion</t>
  </si>
  <si>
    <t>Bicycle Type
Circle one</t>
  </si>
  <si>
    <t>-------&gt;</t>
  </si>
  <si>
    <t>Single</t>
  </si>
  <si>
    <t>Tandem</t>
  </si>
  <si>
    <t>Fixed</t>
  </si>
  <si>
    <t>Recumbent</t>
  </si>
  <si>
    <t>Velomobile</t>
  </si>
  <si>
    <t>Randonneur Committee Authorization</t>
  </si>
  <si>
    <t>Report results or abandonment through registration email link</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</si>
  <si>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</si>
  <si>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 xml:space="preserve">Control Card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</si>
</sst>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4"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12"/>
      <name val="Arial Narrow"/>
      <family val="2"/>
    </font>
    <font>
      <b/>
      <sz val="12"/>
      <name val="Arial Narrow"/>
      <family val="2"/>
    </font>
    <font>
      <sz val="20"/>
      <color theme="0" tint="-0.249977111117893"/>
      <name val="Impact"/>
      <family val="2"/>
    </font>
    <font>
      <sz val="16"/>
      <color rgb="FFFF0000"/>
      <name val="Arial"/>
      <family val="2"/>
    </font>
    <font>
      <sz val="9"/>
      <name val="Arial"/>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thin">
        <color auto="1"/>
      </left>
      <right style="medium">
        <color indexed="64"/>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43">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xf numFmtId="164" fontId="0" fillId="0" borderId="0" xfId="0" applyNumberFormat="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0" fillId="0" borderId="18" xfId="0" applyBorder="1"/>
    <xf numFmtId="0" fontId="0" fillId="0" borderId="20" xfId="0" applyBorder="1"/>
    <xf numFmtId="0" fontId="0" fillId="0" borderId="21" xfId="0" applyBorder="1"/>
    <xf numFmtId="0" fontId="0" fillId="0" borderId="17" xfId="0" applyBorder="1"/>
    <xf numFmtId="0" fontId="0" fillId="0" borderId="8" xfId="0" applyBorder="1"/>
    <xf numFmtId="0" fontId="0" fillId="0" borderId="0" xfId="0" applyAlignment="1" applyProtection="1">
      <alignment horizontal="centerContinuous"/>
      <protection hidden="1"/>
    </xf>
    <xf numFmtId="0" fontId="0" fillId="0" borderId="0" xfId="0" applyAlignment="1">
      <alignment horizontal="centerContinuous"/>
    </xf>
    <xf numFmtId="167" fontId="0" fillId="0" borderId="13" xfId="0" applyNumberFormat="1" applyBorder="1" applyProtection="1">
      <protection locked="0"/>
    </xf>
    <xf numFmtId="0" fontId="0" fillId="0" borderId="0" xfId="0" applyAlignment="1">
      <alignment horizontal="center"/>
    </xf>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Alignment="1">
      <alignment horizontal="right"/>
    </xf>
    <xf numFmtId="0" fontId="10" fillId="0" borderId="0" xfId="0" applyFont="1" applyAlignment="1">
      <alignment horizontal="left"/>
    </xf>
    <xf numFmtId="0" fontId="5" fillId="2" borderId="3" xfId="0" applyFont="1" applyFill="1" applyBorder="1" applyAlignment="1">
      <alignment horizontal="right"/>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0" fillId="0" borderId="22" xfId="0" applyFont="1" applyBorder="1"/>
    <xf numFmtId="0" fontId="14" fillId="0" borderId="16" xfId="0" applyFont="1" applyBorder="1" applyAlignment="1">
      <alignment horizontal="center" vertical="top" wrapText="1"/>
    </xf>
    <xf numFmtId="0" fontId="6" fillId="0" borderId="0" xfId="0" applyFont="1" applyAlignment="1">
      <alignment wrapText="1"/>
    </xf>
    <xf numFmtId="168" fontId="10" fillId="0" borderId="0" xfId="0" applyNumberFormat="1" applyFont="1" applyAlignment="1">
      <alignment horizontal="center"/>
    </xf>
    <xf numFmtId="0" fontId="10" fillId="0" borderId="0" xfId="0" applyFont="1" applyAlignment="1">
      <alignment horizontal="center"/>
    </xf>
    <xf numFmtId="18" fontId="23" fillId="0" borderId="0" xfId="0" applyNumberFormat="1" applyFont="1" applyAlignment="1">
      <alignment horizontal="center" wrapText="1"/>
    </xf>
    <xf numFmtId="0" fontId="10" fillId="0" borderId="0" xfId="0" applyFont="1" applyAlignment="1">
      <alignment horizontal="left" vertical="center"/>
    </xf>
    <xf numFmtId="169" fontId="10" fillId="0" borderId="0" xfId="0" applyNumberFormat="1" applyFont="1" applyAlignment="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49" fontId="29" fillId="0" borderId="14" xfId="0" applyNumberFormat="1" applyFont="1" applyBorder="1" applyAlignment="1" applyProtection="1">
      <alignment horizontal="center"/>
      <protection locked="0"/>
    </xf>
    <xf numFmtId="49" fontId="30" fillId="0" borderId="4" xfId="0" applyNumberFormat="1" applyFont="1" applyBorder="1" applyAlignment="1" applyProtection="1">
      <alignment horizontal="center"/>
      <protection locked="0"/>
    </xf>
    <xf numFmtId="49" fontId="29" fillId="0" borderId="4" xfId="0" applyNumberFormat="1" applyFont="1" applyBorder="1" applyAlignment="1" applyProtection="1">
      <alignment horizontal="center"/>
      <protection locked="0"/>
    </xf>
    <xf numFmtId="49" fontId="29" fillId="0" borderId="25" xfId="0" applyNumberFormat="1" applyFont="1" applyBorder="1" applyAlignment="1" applyProtection="1">
      <alignment horizontal="center"/>
      <protection locked="0"/>
    </xf>
    <xf numFmtId="49" fontId="29" fillId="0" borderId="23" xfId="0" applyNumberFormat="1" applyFont="1" applyBorder="1" applyAlignment="1" applyProtection="1">
      <alignment horizontal="center"/>
      <protection locked="0"/>
    </xf>
    <xf numFmtId="0" fontId="0" fillId="0" borderId="14" xfId="0" applyBorder="1" applyProtection="1">
      <protection locked="0"/>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Font="1" applyAlignment="1">
      <alignment horizontal="center" wrapText="1"/>
    </xf>
    <xf numFmtId="0" fontId="9" fillId="0" borderId="0" xfId="0" applyFont="1"/>
    <xf numFmtId="0" fontId="5" fillId="0" borderId="0" xfId="0" applyFont="1"/>
    <xf numFmtId="0" fontId="27" fillId="2" borderId="26" xfId="0" applyFont="1" applyFill="1" applyBorder="1"/>
    <xf numFmtId="49" fontId="5" fillId="0" borderId="27" xfId="0" applyNumberFormat="1" applyFont="1" applyBorder="1" applyAlignment="1" applyProtection="1">
      <alignment horizontal="center"/>
      <protection locked="0"/>
    </xf>
    <xf numFmtId="0" fontId="0" fillId="2" borderId="29" xfId="0" applyFill="1" applyBorder="1" applyAlignment="1">
      <alignment horizontal="right"/>
    </xf>
    <xf numFmtId="15" fontId="13" fillId="0" borderId="28" xfId="0" applyNumberFormat="1" applyFont="1" applyBorder="1" applyProtection="1">
      <protection locked="0"/>
    </xf>
    <xf numFmtId="15" fontId="0" fillId="2" borderId="2" xfId="0" applyNumberFormat="1" applyFill="1" applyBorder="1" applyAlignment="1">
      <alignment horizontal="left"/>
    </xf>
    <xf numFmtId="0" fontId="5" fillId="2" borderId="30" xfId="0" applyFont="1" applyFill="1" applyBorder="1" applyAlignment="1">
      <alignment horizontal="right"/>
    </xf>
    <xf numFmtId="0" fontId="6" fillId="0" borderId="0" xfId="0" applyFont="1" applyAlignment="1">
      <alignment vertical="top" wrapText="1"/>
    </xf>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0" fontId="33" fillId="0" borderId="0" xfId="0" applyFont="1" applyAlignment="1">
      <alignment horizontal="left" vertical="top" wrapText="1"/>
    </xf>
    <xf numFmtId="0" fontId="32"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28" fillId="0" borderId="0" xfId="0" applyFont="1" applyAlignment="1">
      <alignment horizontal="right"/>
    </xf>
    <xf numFmtId="0" fontId="0" fillId="2" borderId="9" xfId="0" applyFill="1" applyBorder="1" applyAlignment="1">
      <alignment horizontal="center"/>
    </xf>
    <xf numFmtId="0" fontId="0" fillId="0" borderId="18" xfId="0" applyBorder="1" applyAlignment="1" applyProtection="1">
      <alignment horizontal="left"/>
      <protection locked="0"/>
    </xf>
    <xf numFmtId="0" fontId="31" fillId="0" borderId="18" xfId="0" applyFont="1" applyBorder="1" applyAlignment="1" applyProtection="1">
      <alignment horizontal="left"/>
      <protection locked="0"/>
    </xf>
    <xf numFmtId="0" fontId="8" fillId="0" borderId="5" xfId="0" applyFont="1" applyBorder="1" applyAlignment="1" applyProtection="1">
      <alignment horizontal="left"/>
      <protection locked="0"/>
    </xf>
    <xf numFmtId="0" fontId="7" fillId="0" borderId="18" xfId="0" applyFont="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8" fontId="10" fillId="0" borderId="0" xfId="0" applyNumberFormat="1" applyFont="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10" fillId="0" borderId="18" xfId="0" applyFont="1" applyBorder="1" applyProtection="1">
      <protection locked="0"/>
    </xf>
    <xf numFmtId="0" fontId="6" fillId="0" borderId="0" xfId="0" applyFont="1" applyAlignment="1">
      <alignment horizontal="center" wrapText="1"/>
    </xf>
    <xf numFmtId="0" fontId="5" fillId="0" borderId="20" xfId="0" applyFont="1" applyBorder="1" applyAlignment="1">
      <alignment horizontal="right" vertical="top"/>
    </xf>
    <xf numFmtId="0" fontId="0" fillId="0" borderId="20" xfId="0" applyBorder="1" applyAlignment="1">
      <alignment horizontal="right" vertical="top"/>
    </xf>
    <xf numFmtId="15" fontId="0" fillId="0" borderId="20" xfId="0" applyNumberFormat="1" applyBorder="1" applyAlignment="1">
      <alignment horizontal="left" vertical="top"/>
    </xf>
    <xf numFmtId="0" fontId="0" fillId="0" borderId="20" xfId="0" applyBorder="1" applyAlignment="1">
      <alignment horizontal="left" vertical="top"/>
    </xf>
    <xf numFmtId="168" fontId="10" fillId="0" borderId="18" xfId="0" applyNumberFormat="1" applyFont="1" applyBorder="1" applyAlignment="1" applyProtection="1">
      <alignment horizontal="center"/>
      <protection locked="0"/>
    </xf>
    <xf numFmtId="169" fontId="12" fillId="0" borderId="5" xfId="0" applyNumberFormat="1" applyFont="1" applyBorder="1" applyAlignment="1" applyProtection="1">
      <alignment horizontal="left"/>
      <protection locked="0"/>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18" xfId="0" applyNumberFormat="1" applyFont="1" applyBorder="1" applyAlignment="1">
      <alignment horizontal="center"/>
    </xf>
    <xf numFmtId="0" fontId="7" fillId="0" borderId="18" xfId="0" applyFont="1" applyBorder="1" applyAlignment="1" applyProtection="1">
      <alignment horizontal="left" wrapText="1"/>
      <protection locked="0"/>
    </xf>
  </cellXfs>
  <cellStyles count="356">
    <cellStyle name="Followed Hyperlink" xfId="224" builtinId="9" hidden="1"/>
    <cellStyle name="Followed Hyperlink" xfId="80" builtinId="9" hidden="1"/>
    <cellStyle name="Followed Hyperlink" xfId="123" builtinId="9" hidden="1"/>
    <cellStyle name="Followed Hyperlink" xfId="323" builtinId="9" hidden="1"/>
    <cellStyle name="Followed Hyperlink" xfId="267" builtinId="9" hidden="1"/>
    <cellStyle name="Followed Hyperlink" xfId="36" builtinId="9" hidden="1"/>
    <cellStyle name="Followed Hyperlink" xfId="50" builtinId="9" hidden="1"/>
    <cellStyle name="Followed Hyperlink" xfId="74" builtinId="9" hidden="1"/>
    <cellStyle name="Followed Hyperlink" xfId="268" builtinId="9" hidden="1"/>
    <cellStyle name="Followed Hyperlink" xfId="187" builtinId="9" hidden="1"/>
    <cellStyle name="Followed Hyperlink" xfId="140" builtinId="9" hidden="1"/>
    <cellStyle name="Followed Hyperlink" xfId="96" builtinId="9" hidden="1"/>
    <cellStyle name="Followed Hyperlink" xfId="247" builtinId="9" hidden="1"/>
    <cellStyle name="Followed Hyperlink" xfId="16" builtinId="9" hidden="1"/>
    <cellStyle name="Followed Hyperlink" xfId="277" builtinId="9" hidden="1"/>
    <cellStyle name="Followed Hyperlink" xfId="194" builtinId="9" hidden="1"/>
    <cellStyle name="Followed Hyperlink" xfId="238" builtinId="9" hidden="1"/>
    <cellStyle name="Followed Hyperlink" xfId="205" builtinId="9" hidden="1"/>
    <cellStyle name="Followed Hyperlink" xfId="32" builtinId="9" hidden="1"/>
    <cellStyle name="Followed Hyperlink" xfId="349" builtinId="9" hidden="1"/>
    <cellStyle name="Followed Hyperlink" xfId="108" builtinId="9" hidden="1"/>
    <cellStyle name="Followed Hyperlink" xfId="212" builtinId="9" hidden="1"/>
    <cellStyle name="Followed Hyperlink" xfId="163" builtinId="9" hidden="1"/>
    <cellStyle name="Followed Hyperlink" xfId="105" builtinId="9" hidden="1"/>
    <cellStyle name="Followed Hyperlink" xfId="113" builtinId="9" hidden="1"/>
    <cellStyle name="Followed Hyperlink" xfId="270" builtinId="9" hidden="1"/>
    <cellStyle name="Followed Hyperlink" xfId="121" builtinId="9" hidden="1"/>
    <cellStyle name="Followed Hyperlink" xfId="273" builtinId="9" hidden="1"/>
    <cellStyle name="Followed Hyperlink" xfId="147" builtinId="9" hidden="1"/>
    <cellStyle name="Followed Hyperlink" xfId="228" builtinId="9" hidden="1"/>
    <cellStyle name="Followed Hyperlink" xfId="82" builtinId="9" hidden="1"/>
    <cellStyle name="Followed Hyperlink" xfId="317" builtinId="9" hidden="1"/>
    <cellStyle name="Followed Hyperlink" xfId="79" builtinId="9" hidden="1"/>
    <cellStyle name="Followed Hyperlink" xfId="189" builtinId="9" hidden="1"/>
    <cellStyle name="Followed Hyperlink" xfId="230" builtinId="9" hidden="1"/>
    <cellStyle name="Followed Hyperlink" xfId="154" builtinId="9" hidden="1"/>
    <cellStyle name="Followed Hyperlink" xfId="311" builtinId="9" hidden="1"/>
    <cellStyle name="Followed Hyperlink" xfId="240" builtinId="9" hidden="1"/>
    <cellStyle name="Followed Hyperlink" xfId="199" builtinId="9" hidden="1"/>
    <cellStyle name="Followed Hyperlink" xfId="64" builtinId="9" hidden="1"/>
    <cellStyle name="Followed Hyperlink" xfId="133" builtinId="9" hidden="1"/>
    <cellStyle name="Followed Hyperlink" xfId="103" builtinId="9" hidden="1"/>
    <cellStyle name="Followed Hyperlink" xfId="116" builtinId="9" hidden="1"/>
    <cellStyle name="Followed Hyperlink" xfId="106" builtinId="9" hidden="1"/>
    <cellStyle name="Followed Hyperlink" xfId="156" builtinId="9" hidden="1"/>
    <cellStyle name="Followed Hyperlink" xfId="120" builtinId="9" hidden="1"/>
    <cellStyle name="Followed Hyperlink" xfId="128" builtinId="9" hidden="1"/>
    <cellStyle name="Followed Hyperlink" xfId="144" builtinId="9" hidden="1"/>
    <cellStyle name="Followed Hyperlink" xfId="62" builtinId="9" hidden="1"/>
    <cellStyle name="Followed Hyperlink" xfId="101" builtinId="9" hidden="1"/>
    <cellStyle name="Followed Hyperlink" xfId="66" builtinId="9" hidden="1"/>
    <cellStyle name="Followed Hyperlink" xfId="263" builtinId="9" hidden="1"/>
    <cellStyle name="Followed Hyperlink" xfId="208" builtinId="9" hidden="1"/>
    <cellStyle name="Followed Hyperlink" xfId="274" builtinId="9" hidden="1"/>
    <cellStyle name="Followed Hyperlink" xfId="142" builtinId="9" hidden="1"/>
    <cellStyle name="Followed Hyperlink" xfId="186" builtinId="9" hidden="1"/>
    <cellStyle name="Followed Hyperlink" xfId="125" builtinId="9" hidden="1"/>
    <cellStyle name="Followed Hyperlink" xfId="143" builtinId="9" hidden="1"/>
    <cellStyle name="Followed Hyperlink" xfId="232" builtinId="9" hidden="1"/>
    <cellStyle name="Followed Hyperlink" xfId="86" builtinId="9" hidden="1"/>
    <cellStyle name="Followed Hyperlink" xfId="309" builtinId="9" hidden="1"/>
    <cellStyle name="Followed Hyperlink" xfId="83" builtinId="9" hidden="1"/>
    <cellStyle name="Followed Hyperlink" xfId="233" builtinId="9" hidden="1"/>
    <cellStyle name="Followed Hyperlink" xfId="249" builtinId="9" hidden="1"/>
    <cellStyle name="Followed Hyperlink" xfId="351" builtinId="9" hidden="1"/>
    <cellStyle name="Followed Hyperlink" xfId="161" builtinId="9" hidden="1"/>
    <cellStyle name="Followed Hyperlink" xfId="60" builtinId="9" hidden="1"/>
    <cellStyle name="Followed Hyperlink" xfId="227" builtinId="9" hidden="1"/>
    <cellStyle name="Followed Hyperlink" xfId="148" builtinId="9" hidden="1"/>
    <cellStyle name="Followed Hyperlink" xfId="102" builtinId="9" hidden="1"/>
    <cellStyle name="Followed Hyperlink" xfId="255" builtinId="9" hidden="1"/>
    <cellStyle name="Followed Hyperlink" xfId="6" builtinId="9" hidden="1"/>
    <cellStyle name="Followed Hyperlink" xfId="269" builtinId="9" hidden="1"/>
    <cellStyle name="Followed Hyperlink" xfId="210" builtinId="9" hidden="1"/>
    <cellStyle name="Followed Hyperlink" xfId="246" builtinId="9" hidden="1"/>
    <cellStyle name="Followed Hyperlink" xfId="213" builtinId="9" hidden="1"/>
    <cellStyle name="Followed Hyperlink" xfId="42" builtinId="9" hidden="1"/>
    <cellStyle name="Followed Hyperlink" xfId="347" builtinId="9" hidden="1"/>
    <cellStyle name="Followed Hyperlink" xfId="124" builtinId="9" hidden="1"/>
    <cellStyle name="Followed Hyperlink" xfId="204" builtinId="9" hidden="1"/>
    <cellStyle name="Followed Hyperlink" xfId="235" builtinId="9" hidden="1"/>
    <cellStyle name="Followed Hyperlink" xfId="220" builtinId="9" hidden="1"/>
    <cellStyle name="Followed Hyperlink" xfId="20" builtinId="9" hidden="1"/>
    <cellStyle name="Followed Hyperlink" xfId="97" builtinId="9" hidden="1"/>
    <cellStyle name="Followed Hyperlink" xfId="22" builtinId="9" hidden="1"/>
    <cellStyle name="Followed Hyperlink" xfId="236" builtinId="9" hidden="1"/>
    <cellStyle name="Followed Hyperlink" xfId="251" builtinId="9" hidden="1"/>
    <cellStyle name="Followed Hyperlink" xfId="91" builtinId="9" hidden="1"/>
    <cellStyle name="Followed Hyperlink" xfId="88" builtinId="9" hidden="1"/>
    <cellStyle name="Followed Hyperlink" xfId="301" builtinId="9" hidden="1"/>
    <cellStyle name="Followed Hyperlink" xfId="87" builtinId="9" hidden="1"/>
    <cellStyle name="Followed Hyperlink" xfId="181" builtinId="9" hidden="1"/>
    <cellStyle name="Followed Hyperlink" xfId="222" builtinId="9" hidden="1"/>
    <cellStyle name="Followed Hyperlink" xfId="158" builtinId="9" hidden="1"/>
    <cellStyle name="Followed Hyperlink" xfId="327" builtinId="9" hidden="1"/>
    <cellStyle name="Followed Hyperlink" xfId="56" builtinId="9" hidden="1"/>
    <cellStyle name="Followed Hyperlink" xfId="223" builtinId="9" hidden="1"/>
    <cellStyle name="Followed Hyperlink" xfId="152" builtinId="9" hidden="1"/>
    <cellStyle name="Followed Hyperlink" xfId="104" builtinId="9" hidden="1"/>
    <cellStyle name="Followed Hyperlink" xfId="259" builtinId="9" hidden="1"/>
    <cellStyle name="Followed Hyperlink" xfId="4" builtinId="9" hidden="1"/>
    <cellStyle name="Followed Hyperlink" xfId="177" builtinId="9" hidden="1"/>
    <cellStyle name="Followed Hyperlink" xfId="319" builtinId="9" hidden="1"/>
    <cellStyle name="Followed Hyperlink" xfId="329" builtinId="9" hidden="1"/>
    <cellStyle name="Followed Hyperlink" xfId="209" builtinId="9" hidden="1"/>
    <cellStyle name="Followed Hyperlink" xfId="48" builtinId="9" hidden="1"/>
    <cellStyle name="Followed Hyperlink" xfId="295" builtinId="9" hidden="1"/>
    <cellStyle name="Followed Hyperlink" xfId="157" builtinId="9" hidden="1"/>
    <cellStyle name="Followed Hyperlink" xfId="52" builtinId="9" hidden="1"/>
    <cellStyle name="Followed Hyperlink" xfId="239" builtinId="9" hidden="1"/>
    <cellStyle name="Followed Hyperlink" xfId="264" builtinId="9" hidden="1"/>
    <cellStyle name="Followed Hyperlink" xfId="134" builtinId="9" hidden="1"/>
    <cellStyle name="Followed Hyperlink" xfId="94" builtinId="9" hidden="1"/>
    <cellStyle name="Followed Hyperlink" xfId="260" builtinId="9" hidden="1"/>
    <cellStyle name="Followed Hyperlink" xfId="339" builtinId="9" hidden="1"/>
    <cellStyle name="Followed Hyperlink" xfId="200" builtinId="9" hidden="1"/>
    <cellStyle name="Followed Hyperlink" xfId="93" builtinId="9" hidden="1"/>
    <cellStyle name="Followed Hyperlink" xfId="226" builtinId="9" hidden="1"/>
    <cellStyle name="Followed Hyperlink" xfId="178" builtinId="9" hidden="1"/>
    <cellStyle name="Followed Hyperlink" xfId="206" builtinId="9" hidden="1"/>
    <cellStyle name="Followed Hyperlink" xfId="190" builtinId="9" hidden="1"/>
    <cellStyle name="Followed Hyperlink" xfId="337" builtinId="9" hidden="1"/>
    <cellStyle name="Followed Hyperlink" xfId="261" builtinId="9" hidden="1"/>
    <cellStyle name="Followed Hyperlink" xfId="234" builtinId="9" hidden="1"/>
    <cellStyle name="Followed Hyperlink" xfId="150" builtinId="9" hidden="1"/>
    <cellStyle name="Followed Hyperlink" xfId="250" builtinId="9" hidden="1"/>
    <cellStyle name="Followed Hyperlink" xfId="174" builtinId="9" hidden="1"/>
    <cellStyle name="Followed Hyperlink" xfId="289" builtinId="9" hidden="1"/>
    <cellStyle name="Followed Hyperlink" xfId="175" builtinId="9" hidden="1"/>
    <cellStyle name="Followed Hyperlink" xfId="132" builtinId="9" hidden="1"/>
    <cellStyle name="Followed Hyperlink" xfId="243" builtinId="9" hidden="1"/>
    <cellStyle name="Followed Hyperlink" xfId="196" builtinId="9" hidden="1"/>
    <cellStyle name="Followed Hyperlink" xfId="68" builtinId="9" hidden="1"/>
    <cellStyle name="Followed Hyperlink" xfId="136" builtinId="9" hidden="1"/>
    <cellStyle name="Followed Hyperlink" xfId="331" builtinId="9" hidden="1"/>
    <cellStyle name="Followed Hyperlink" xfId="111" builtinId="9" hidden="1"/>
    <cellStyle name="Followed Hyperlink" xfId="30" builtinId="9" hidden="1"/>
    <cellStyle name="Followed Hyperlink" xfId="221" builtinId="9" hidden="1"/>
    <cellStyle name="Followed Hyperlink" xfId="179" builtinId="9" hidden="1"/>
    <cellStyle name="Followed Hyperlink" xfId="89" builtinId="9" hidden="1"/>
    <cellStyle name="Followed Hyperlink" xfId="129" builtinId="9" hidden="1"/>
    <cellStyle name="Followed Hyperlink" xfId="278" builtinId="9" hidden="1"/>
    <cellStyle name="Followed Hyperlink" xfId="153" builtinId="9" hidden="1"/>
    <cellStyle name="Followed Hyperlink" xfId="265" builtinId="9" hidden="1"/>
    <cellStyle name="Followed Hyperlink" xfId="131" builtinId="9" hidden="1"/>
    <cellStyle name="Followed Hyperlink" xfId="244" builtinId="9" hidden="1"/>
    <cellStyle name="Followed Hyperlink" xfId="84" builtinId="9" hidden="1"/>
    <cellStyle name="Followed Hyperlink" xfId="280" builtinId="9" hidden="1"/>
    <cellStyle name="Followed Hyperlink" xfId="95" builtinId="9" hidden="1"/>
    <cellStyle name="Followed Hyperlink" xfId="173" builtinId="9" hidden="1"/>
    <cellStyle name="Followed Hyperlink" xfId="218" builtinId="9" hidden="1"/>
    <cellStyle name="Followed Hyperlink" xfId="166" builtinId="9" hidden="1"/>
    <cellStyle name="Followed Hyperlink" xfId="343" builtinId="9" hidden="1"/>
    <cellStyle name="Followed Hyperlink" xfId="44" builtinId="9" hidden="1"/>
    <cellStyle name="Followed Hyperlink" xfId="215" builtinId="9" hidden="1"/>
    <cellStyle name="Followed Hyperlink" xfId="160" builtinId="9" hidden="1"/>
    <cellStyle name="Followed Hyperlink" xfId="110" builtinId="9" hidden="1"/>
    <cellStyle name="Followed Hyperlink" xfId="171" builtinId="9" hidden="1"/>
    <cellStyle name="Followed Hyperlink" xfId="293" builtinId="9" hidden="1"/>
    <cellStyle name="Followed Hyperlink" xfId="139" builtinId="9" hidden="1"/>
    <cellStyle name="Followed Hyperlink" xfId="28" builtinId="9" hidden="1"/>
    <cellStyle name="Followed Hyperlink" xfId="8" builtinId="9" hidden="1"/>
    <cellStyle name="Followed Hyperlink" xfId="203" builtinId="9" hidden="1"/>
    <cellStyle name="Followed Hyperlink" xfId="355" builtinId="9" hidden="1"/>
    <cellStyle name="Followed Hyperlink" xfId="155" builtinId="9" hidden="1"/>
    <cellStyle name="Followed Hyperlink" xfId="130" builtinId="9" hidden="1"/>
    <cellStyle name="Followed Hyperlink" xfId="192" builtinId="9" hidden="1"/>
    <cellStyle name="Followed Hyperlink" xfId="183" builtinId="9" hidden="1"/>
    <cellStyle name="Followed Hyperlink" xfId="85" builtinId="9" hidden="1"/>
    <cellStyle name="Followed Hyperlink" xfId="305" builtinId="9" hidden="1"/>
    <cellStyle name="Followed Hyperlink" xfId="146" builtinId="9" hidden="1"/>
    <cellStyle name="Followed Hyperlink" xfId="198" builtinId="9" hidden="1"/>
    <cellStyle name="Followed Hyperlink" xfId="141" builtinId="9" hidden="1"/>
    <cellStyle name="Followed Hyperlink" xfId="127" builtinId="9" hidden="1"/>
    <cellStyle name="Followed Hyperlink" xfId="248" builtinId="9" hidden="1"/>
    <cellStyle name="Followed Hyperlink" xfId="76" builtinId="9" hidden="1"/>
    <cellStyle name="Followed Hyperlink" xfId="276" builtinId="9" hidden="1"/>
    <cellStyle name="Followed Hyperlink" xfId="99" builtinId="9" hidden="1"/>
    <cellStyle name="Followed Hyperlink" xfId="241" builtinId="9" hidden="1"/>
    <cellStyle name="Followed Hyperlink" xfId="217" builtinId="9" hidden="1"/>
    <cellStyle name="Followed Hyperlink" xfId="297" builtinId="9" hidden="1"/>
    <cellStyle name="Followed Hyperlink" xfId="145" builtinId="9" hidden="1"/>
    <cellStyle name="Followed Hyperlink" xfId="40" builtinId="9" hidden="1"/>
    <cellStyle name="Followed Hyperlink" xfId="211" builtinId="9" hidden="1"/>
    <cellStyle name="Followed Hyperlink" xfId="164" builtinId="9" hidden="1"/>
    <cellStyle name="Followed Hyperlink" xfId="112" builtinId="9" hidden="1"/>
    <cellStyle name="Followed Hyperlink" xfId="271" builtinId="9" hidden="1"/>
    <cellStyle name="Followed Hyperlink" xfId="14" builtinId="9" hidden="1"/>
    <cellStyle name="Followed Hyperlink" xfId="253" builtinId="9" hidden="1"/>
    <cellStyle name="Followed Hyperlink" xfId="242" builtinId="9" hidden="1"/>
    <cellStyle name="Followed Hyperlink" xfId="254" builtinId="9" hidden="1"/>
    <cellStyle name="Followed Hyperlink" xfId="229" builtinId="9" hidden="1"/>
    <cellStyle name="Followed Hyperlink" xfId="333" builtinId="9" hidden="1"/>
    <cellStyle name="Followed Hyperlink" xfId="167" builtinId="9" hidden="1"/>
    <cellStyle name="Followed Hyperlink" xfId="2" builtinId="9" hidden="1"/>
    <cellStyle name="Followed Hyperlink" xfId="197" builtinId="9" hidden="1"/>
    <cellStyle name="Followed Hyperlink" xfId="231" builtinId="9" hidden="1"/>
    <cellStyle name="Followed Hyperlink" xfId="90" builtinId="9" hidden="1"/>
    <cellStyle name="Followed Hyperlink" xfId="78" builtinId="9" hidden="1"/>
    <cellStyle name="Followed Hyperlink" xfId="188" builtinId="9" hidden="1"/>
    <cellStyle name="Followed Hyperlink" xfId="98" builtinId="9" hidden="1"/>
    <cellStyle name="Followed Hyperlink" xfId="92" builtinId="9" hidden="1"/>
    <cellStyle name="Followed Hyperlink" xfId="272" builtinId="9" hidden="1"/>
    <cellStyle name="Followed Hyperlink" xfId="165" builtinId="9" hidden="1"/>
    <cellStyle name="Followed Hyperlink" xfId="24" builtinId="9" hidden="1"/>
    <cellStyle name="Followed Hyperlink" xfId="135" builtinId="9" hidden="1"/>
    <cellStyle name="Followed Hyperlink" xfId="315" builtinId="9" hidden="1"/>
    <cellStyle name="Followed Hyperlink" xfId="176" builtinId="9" hidden="1"/>
    <cellStyle name="Followed Hyperlink" xfId="214" builtinId="9" hidden="1"/>
    <cellStyle name="Followed Hyperlink" xfId="170" builtinId="9" hidden="1"/>
    <cellStyle name="Followed Hyperlink" xfId="353" builtinId="9" hidden="1"/>
    <cellStyle name="Followed Hyperlink" xfId="34" builtinId="9" hidden="1"/>
    <cellStyle name="Followed Hyperlink" xfId="207" builtinId="9" hidden="1"/>
    <cellStyle name="Followed Hyperlink" xfId="168" builtinId="9" hidden="1"/>
    <cellStyle name="Followed Hyperlink" xfId="114" builtinId="9" hidden="1"/>
    <cellStyle name="Followed Hyperlink" xfId="275" builtinId="9" hidden="1"/>
    <cellStyle name="Followed Hyperlink" xfId="18" builtinId="9" hidden="1"/>
    <cellStyle name="Followed Hyperlink" xfId="193" builtinId="9" hidden="1"/>
    <cellStyle name="Followed Hyperlink" xfId="335" builtinId="9" hidden="1"/>
    <cellStyle name="Followed Hyperlink" xfId="345" builtinId="9" hidden="1"/>
    <cellStyle name="Followed Hyperlink" xfId="201" builtinId="9" hidden="1"/>
    <cellStyle name="Followed Hyperlink" xfId="54" builtinId="9" hidden="1"/>
    <cellStyle name="Followed Hyperlink" xfId="307" builtinId="9" hidden="1"/>
    <cellStyle name="Followed Hyperlink" xfId="126" builtinId="9" hidden="1"/>
    <cellStyle name="Followed Hyperlink" xfId="184" builtinId="9" hidden="1"/>
    <cellStyle name="Followed Hyperlink" xfId="191" builtinId="9" hidden="1"/>
    <cellStyle name="Followed Hyperlink" xfId="77" builtinId="9" hidden="1"/>
    <cellStyle name="Followed Hyperlink" xfId="321" builtinId="9" hidden="1"/>
    <cellStyle name="Followed Hyperlink" xfId="162" builtinId="9" hidden="1"/>
    <cellStyle name="Followed Hyperlink" xfId="202" builtinId="9" hidden="1"/>
    <cellStyle name="Followed Hyperlink" xfId="149" builtinId="9" hidden="1"/>
    <cellStyle name="Followed Hyperlink" xfId="119" builtinId="9" hidden="1"/>
    <cellStyle name="Followed Hyperlink" xfId="256" builtinId="9" hidden="1"/>
    <cellStyle name="Followed Hyperlink" xfId="72" builtinId="9" hidden="1"/>
    <cellStyle name="Followed Hyperlink" xfId="107" builtinId="9" hidden="1"/>
    <cellStyle name="Followed Hyperlink" xfId="291" builtinId="9" hidden="1"/>
    <cellStyle name="Followed Hyperlink" xfId="325" builtinId="9" hidden="1"/>
    <cellStyle name="Followed Hyperlink" xfId="58" builtinId="9" hidden="1"/>
    <cellStyle name="Followed Hyperlink" xfId="81" builtinId="9" hidden="1"/>
    <cellStyle name="Followed Hyperlink" xfId="46" builtinId="9" hidden="1"/>
    <cellStyle name="Followed Hyperlink" xfId="252" builtinId="9" hidden="1"/>
    <cellStyle name="Followed Hyperlink" xfId="219" builtinId="9" hidden="1"/>
    <cellStyle name="Followed Hyperlink" xfId="172" builtinId="9" hidden="1"/>
    <cellStyle name="Followed Hyperlink" xfId="118" builtinId="9" hidden="1"/>
    <cellStyle name="Followed Hyperlink" xfId="279" builtinId="9" hidden="1"/>
    <cellStyle name="Followed Hyperlink" xfId="26" builtinId="9" hidden="1"/>
    <cellStyle name="Followed Hyperlink" xfId="195" builtinId="9" hidden="1"/>
    <cellStyle name="Followed Hyperlink" xfId="341" builtinId="9" hidden="1"/>
    <cellStyle name="Followed Hyperlink" xfId="100" builtinId="9" hidden="1"/>
    <cellStyle name="Followed Hyperlink" xfId="122" builtinId="9" hidden="1"/>
    <cellStyle name="Followed Hyperlink" xfId="216" builtinId="9" hidden="1"/>
    <cellStyle name="Followed Hyperlink" xfId="159" builtinId="9" hidden="1"/>
    <cellStyle name="Followed Hyperlink" xfId="38" builtinId="9" hidden="1"/>
    <cellStyle name="Followed Hyperlink" xfId="109" builtinId="9" hidden="1"/>
    <cellStyle name="Followed Hyperlink" xfId="266" builtinId="9" hidden="1"/>
    <cellStyle name="Followed Hyperlink" xfId="262" builtinId="9" hidden="1"/>
    <cellStyle name="Followed Hyperlink" xfId="138" builtinId="9" hidden="1"/>
    <cellStyle name="Followed Hyperlink" xfId="182" builtinId="9" hidden="1"/>
    <cellStyle name="Followed Hyperlink" xfId="245" builtinId="9" hidden="1"/>
    <cellStyle name="Followed Hyperlink" xfId="117" builtinId="9" hidden="1"/>
    <cellStyle name="Followed Hyperlink" xfId="151" builtinId="9" hidden="1"/>
    <cellStyle name="Followed Hyperlink" xfId="12" builtinId="9" hidden="1"/>
    <cellStyle name="Followed Hyperlink" xfId="258" builtinId="9" hidden="1"/>
    <cellStyle name="Followed Hyperlink" xfId="237" builtinId="9" hidden="1"/>
    <cellStyle name="Followed Hyperlink" xfId="299" builtinId="9" hidden="1"/>
    <cellStyle name="Followed Hyperlink" xfId="180" builtinId="9" hidden="1"/>
    <cellStyle name="Followed Hyperlink" xfId="70" builtinId="9" hidden="1"/>
    <cellStyle name="Followed Hyperlink" xfId="185" builtinId="9" hidden="1"/>
    <cellStyle name="Followed Hyperlink" xfId="303" builtinId="9" hidden="1"/>
    <cellStyle name="Followed Hyperlink" xfId="281" builtinId="9" hidden="1"/>
    <cellStyle name="Followed Hyperlink" xfId="137" builtinId="9" hidden="1"/>
    <cellStyle name="Followed Hyperlink" xfId="225" builtinId="9" hidden="1"/>
    <cellStyle name="Followed Hyperlink" xfId="313" builtinId="9" hidden="1"/>
    <cellStyle name="Followed Hyperlink" xfId="257" builtinId="9" hidden="1"/>
    <cellStyle name="Followed Hyperlink" xfId="169" builtinId="9" hidden="1"/>
    <cellStyle name="Followed Hyperlink" xfId="10" builtinId="9" hidden="1"/>
    <cellStyle name="Followed Hyperlink" xfId="115" builtinId="9" hidden="1"/>
    <cellStyle name="Hyperlink" xfId="304" builtinId="8" hidden="1"/>
    <cellStyle name="Hyperlink" xfId="306" builtinId="8" hidden="1"/>
    <cellStyle name="Hyperlink" xfId="342" builtinId="8" hidden="1"/>
    <cellStyle name="Hyperlink" xfId="324" builtinId="8" hidden="1"/>
    <cellStyle name="Hyperlink" xfId="9" builtinId="8" hidden="1"/>
    <cellStyle name="Hyperlink" xfId="292" builtinId="8" hidden="1"/>
    <cellStyle name="Hyperlink" xfId="23" builtinId="8" hidden="1"/>
    <cellStyle name="Hyperlink" xfId="25" builtinId="8" hidden="1"/>
    <cellStyle name="Hyperlink" xfId="29" builtinId="8" hidden="1"/>
    <cellStyle name="Hyperlink" xfId="298" builtinId="8" hidden="1"/>
    <cellStyle name="Hyperlink" xfId="47" builtinId="8" hidden="1"/>
    <cellStyle name="Hyperlink" xfId="33" builtinId="8" hidden="1"/>
    <cellStyle name="Hyperlink" xfId="35" builtinId="8" hidden="1"/>
    <cellStyle name="Hyperlink" xfId="41" builtinId="8" hidden="1"/>
    <cellStyle name="Hyperlink" xfId="65" builtinId="8" hidden="1"/>
    <cellStyle name="Hyperlink" xfId="1" builtinId="8" hidden="1"/>
    <cellStyle name="Hyperlink" xfId="13" builtinId="8" hidden="1"/>
    <cellStyle name="Hyperlink" xfId="15" builtinId="8" hidden="1"/>
    <cellStyle name="Hyperlink" xfId="19" builtinId="8" hidden="1"/>
    <cellStyle name="Hyperlink" xfId="7" builtinId="8" hidden="1"/>
    <cellStyle name="Hyperlink" xfId="314" builtinId="8" hidden="1"/>
    <cellStyle name="Hyperlink" xfId="43" builtinId="8" hidden="1"/>
    <cellStyle name="Hyperlink" xfId="346" builtinId="8" hidden="1"/>
    <cellStyle name="Hyperlink" xfId="352" builtinId="8" hidden="1"/>
    <cellStyle name="Hyperlink" xfId="330" builtinId="8" hidden="1"/>
    <cellStyle name="Hyperlink" xfId="39" builtinId="8" hidden="1"/>
    <cellStyle name="Hyperlink" xfId="71" builtinId="8" hidden="1"/>
    <cellStyle name="Hyperlink" xfId="55" builtinId="8" hidden="1"/>
    <cellStyle name="Hyperlink" xfId="49" builtinId="8" hidden="1"/>
    <cellStyle name="Hyperlink" xfId="45" builtinId="8" hidden="1"/>
    <cellStyle name="Hyperlink" xfId="51" builtinId="8" hidden="1"/>
    <cellStyle name="Hyperlink" xfId="332" builtinId="8" hidden="1"/>
    <cellStyle name="Hyperlink" xfId="312" builtinId="8" hidden="1"/>
    <cellStyle name="Hyperlink" xfId="67" builtinId="8" hidden="1"/>
    <cellStyle name="Hyperlink" xfId="61" builtinId="8" hidden="1"/>
    <cellStyle name="Hyperlink" xfId="57" builtinId="8" hidden="1"/>
    <cellStyle name="Hyperlink" xfId="63" builtinId="8" hidden="1"/>
    <cellStyle name="Hyperlink" xfId="27" builtinId="8" hidden="1"/>
    <cellStyle name="Hyperlink" xfId="11" builtinId="8" hidden="1"/>
    <cellStyle name="Hyperlink" xfId="290" builtinId="8" hidden="1"/>
    <cellStyle name="Hyperlink" xfId="73" builtinId="8" hidden="1"/>
    <cellStyle name="Hyperlink" xfId="75" builtinId="8" hidden="1"/>
    <cellStyle name="Hyperlink" xfId="320" builtinId="8" hidden="1"/>
    <cellStyle name="Hyperlink" xfId="336" builtinId="8" hidden="1"/>
    <cellStyle name="Hyperlink" xfId="300" builtinId="8" hidden="1"/>
    <cellStyle name="Hyperlink" xfId="294" builtinId="8" hidden="1"/>
    <cellStyle name="Hyperlink" xfId="296" builtinId="8" hidden="1"/>
    <cellStyle name="Hyperlink" xfId="17" builtinId="8" hidden="1"/>
    <cellStyle name="Hyperlink" xfId="31" builtinId="8" hidden="1"/>
    <cellStyle name="Hyperlink" xfId="310" builtinId="8" hidden="1"/>
    <cellStyle name="Hyperlink" xfId="69" builtinId="8" hidden="1"/>
    <cellStyle name="Hyperlink" xfId="59" builtinId="8" hidden="1"/>
    <cellStyle name="Hyperlink" xfId="326" builtinId="8" hidden="1"/>
    <cellStyle name="Hyperlink" xfId="328" builtinId="8" hidden="1"/>
    <cellStyle name="Hyperlink" xfId="334" builtinId="8" hidden="1"/>
    <cellStyle name="Hyperlink" xfId="288" builtinId="8" hidden="1"/>
    <cellStyle name="Hyperlink" xfId="354" builtinId="8" hidden="1"/>
    <cellStyle name="Hyperlink" xfId="338" builtinId="8" hidden="1"/>
    <cellStyle name="Hyperlink" xfId="340" builtinId="8" hidden="1"/>
    <cellStyle name="Hyperlink" xfId="344" builtinId="8" hidden="1"/>
    <cellStyle name="Hyperlink" xfId="348" builtinId="8" hidden="1"/>
    <cellStyle name="Hyperlink" xfId="53" builtinId="8" hidden="1"/>
    <cellStyle name="Hyperlink" xfId="302" builtinId="8" hidden="1"/>
    <cellStyle name="Hyperlink" xfId="316" builtinId="8" hidden="1"/>
    <cellStyle name="Hyperlink" xfId="318" builtinId="8" hidden="1"/>
    <cellStyle name="Hyperlink" xfId="322" builtinId="8" hidden="1"/>
    <cellStyle name="Hyperlink" xfId="308" builtinId="8" hidden="1"/>
    <cellStyle name="Hyperlink" xfId="37" builtinId="8" hidden="1"/>
    <cellStyle name="Hyperlink" xfId="21" builtinId="8" hidden="1"/>
    <cellStyle name="Hyperlink" xfId="350" builtinId="8" hidden="1"/>
    <cellStyle name="Hyperlink" xfId="5" builtinId="8" hidden="1"/>
    <cellStyle name="Hyperlink" xfId="3"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9"/>
  <sheetViews>
    <sheetView showGridLines="0" zoomScale="135" zoomScaleNormal="135" zoomScalePageLayoutView="135" workbookViewId="0">
      <selection activeCell="B9" sqref="B9"/>
    </sheetView>
  </sheetViews>
  <sheetFormatPr baseColWidth="10" defaultColWidth="8.83203125" defaultRowHeight="13" x14ac:dyDescent="0.15"/>
  <cols>
    <col min="1" max="1" width="16.5" style="2" customWidth="1"/>
    <col min="2" max="2" width="14.33203125" bestFit="1" customWidth="1"/>
    <col min="3" max="3" width="8.83203125" style="3" hidden="1" customWidth="1"/>
    <col min="4" max="4" width="8.33203125" customWidth="1"/>
    <col min="5" max="5" width="17" bestFit="1" customWidth="1"/>
    <col min="6" max="6" width="18" bestFit="1" customWidth="1"/>
    <col min="7" max="7" width="23.5" customWidth="1"/>
    <col min="8" max="8" width="25.1640625" bestFit="1" customWidth="1"/>
    <col min="9" max="11" width="31.1640625" customWidth="1"/>
    <col min="12" max="15" width="17.83203125" hidden="1" customWidth="1"/>
  </cols>
  <sheetData>
    <row r="1" spans="1:26" ht="20" customHeight="1" x14ac:dyDescent="0.2">
      <c r="A1" s="104" t="s">
        <v>0</v>
      </c>
      <c r="B1" s="104"/>
      <c r="C1" s="104"/>
      <c r="D1" s="104"/>
      <c r="E1" s="104"/>
      <c r="F1" s="104"/>
      <c r="G1" s="104"/>
      <c r="H1" s="104"/>
      <c r="I1" s="86" t="s">
        <v>1</v>
      </c>
      <c r="Q1" s="103" t="s">
        <v>2</v>
      </c>
      <c r="R1" s="103"/>
      <c r="S1" s="103"/>
      <c r="T1" s="103"/>
      <c r="U1" s="103"/>
      <c r="V1" s="103"/>
      <c r="W1" s="103"/>
      <c r="X1" s="103"/>
      <c r="Y1" s="103"/>
      <c r="Z1" s="103"/>
    </row>
    <row r="2" spans="1:26" ht="13" customHeight="1" thickBot="1" x14ac:dyDescent="0.2">
      <c r="H2" s="94"/>
      <c r="I2" s="94"/>
      <c r="Q2" s="103"/>
      <c r="R2" s="103"/>
      <c r="S2" s="103"/>
      <c r="T2" s="103"/>
      <c r="U2" s="103"/>
      <c r="V2" s="103"/>
      <c r="W2" s="103"/>
      <c r="X2" s="103"/>
      <c r="Y2" s="103"/>
      <c r="Z2" s="103"/>
    </row>
    <row r="3" spans="1:26" ht="13" customHeight="1" x14ac:dyDescent="0.15">
      <c r="A3" s="92" t="s">
        <v>3</v>
      </c>
      <c r="B3" s="91">
        <v>44674</v>
      </c>
      <c r="C3"/>
      <c r="H3" s="94"/>
      <c r="I3" s="94"/>
      <c r="Q3" s="103"/>
      <c r="R3" s="103"/>
      <c r="S3" s="103"/>
      <c r="T3" s="103"/>
      <c r="U3" s="103"/>
      <c r="V3" s="103"/>
      <c r="W3" s="103"/>
      <c r="X3" s="103"/>
      <c r="Y3" s="103"/>
      <c r="Z3" s="103"/>
    </row>
    <row r="4" spans="1:26" ht="14" thickBot="1" x14ac:dyDescent="0.2">
      <c r="H4" s="94"/>
      <c r="I4" s="94"/>
      <c r="Q4" s="103"/>
      <c r="R4" s="103"/>
      <c r="S4" s="103"/>
      <c r="T4" s="103"/>
      <c r="U4" s="103"/>
      <c r="V4" s="103"/>
      <c r="W4" s="103"/>
      <c r="X4" s="103"/>
      <c r="Y4" s="103"/>
      <c r="Z4" s="103"/>
    </row>
    <row r="5" spans="1:26" ht="18" x14ac:dyDescent="0.2">
      <c r="A5" s="11" t="s">
        <v>4</v>
      </c>
      <c r="B5" s="63">
        <v>200</v>
      </c>
      <c r="C5">
        <f>IF(Brevet_Length&gt;=1200,Brevet_Length,IF(Brevet_Length&gt;=1000,1000,IF(Brevet_Length&gt;=600,600,IF(Brevet_Length&gt;=400,400,IF(Brevet_Length&gt;=300,300,IF(Brevet_Length&gt;=200,200,100))))))</f>
        <v>200</v>
      </c>
      <c r="J5" s="111" t="s">
        <v>5</v>
      </c>
      <c r="K5" s="111"/>
      <c r="Q5" s="67" t="s">
        <v>6</v>
      </c>
      <c r="R5" s="67"/>
      <c r="S5" s="67"/>
      <c r="T5" s="67"/>
      <c r="U5" s="67"/>
      <c r="V5" s="67"/>
      <c r="W5" s="67"/>
    </row>
    <row r="6" spans="1:26" ht="14" thickBot="1" x14ac:dyDescent="0.2">
      <c r="A6" s="12" t="s">
        <v>7</v>
      </c>
      <c r="B6" s="13">
        <f>IF(brevet=1200,90,IF(brevet=1000,75,IF(brevet=600,40,IF(brevet=400,27,IF(brevet=300,20,IF(brevet=200,13.5,IF(brevet=100,7,0)))))))</f>
        <v>13.5</v>
      </c>
      <c r="Q6" t="s">
        <v>8</v>
      </c>
    </row>
    <row r="7" spans="1:26" ht="19" thickBot="1" x14ac:dyDescent="0.25">
      <c r="A7" s="12" t="s">
        <v>9</v>
      </c>
      <c r="B7" s="105" t="s">
        <v>10</v>
      </c>
      <c r="C7" s="106"/>
      <c r="D7" s="106"/>
      <c r="E7" s="106"/>
      <c r="F7" s="106"/>
      <c r="G7" s="106"/>
      <c r="H7" s="107"/>
      <c r="I7" s="26"/>
      <c r="J7" s="26"/>
      <c r="K7" s="26"/>
      <c r="Q7" s="67" t="s">
        <v>11</v>
      </c>
    </row>
    <row r="8" spans="1:26" ht="18" x14ac:dyDescent="0.2">
      <c r="A8" s="12" t="s">
        <v>12</v>
      </c>
      <c r="B8" s="64"/>
      <c r="C8" s="23"/>
      <c r="F8" s="24"/>
      <c r="G8" s="24"/>
      <c r="H8" s="24"/>
      <c r="I8" s="24"/>
      <c r="J8" s="24"/>
      <c r="K8" s="24"/>
      <c r="Q8" s="67" t="s">
        <v>13</v>
      </c>
    </row>
    <row r="9" spans="1:26" ht="18" x14ac:dyDescent="0.2">
      <c r="A9" s="45" t="s">
        <v>14</v>
      </c>
      <c r="B9" s="65"/>
      <c r="Q9" s="67" t="s">
        <v>15</v>
      </c>
    </row>
    <row r="10" spans="1:26" ht="6" customHeight="1" x14ac:dyDescent="0.15">
      <c r="B10" s="95"/>
    </row>
    <row r="11" spans="1:26" ht="18" customHeight="1" thickBot="1" x14ac:dyDescent="0.25">
      <c r="A11" s="89" t="s">
        <v>16</v>
      </c>
      <c r="B11" s="90"/>
      <c r="Q11" s="67" t="s">
        <v>17</v>
      </c>
    </row>
    <row r="12" spans="1:26" ht="19" thickBot="1" x14ac:dyDescent="0.25">
      <c r="A12" s="10" t="s">
        <v>18</v>
      </c>
      <c r="B12" s="66"/>
      <c r="D12" s="108" t="s">
        <v>19</v>
      </c>
      <c r="E12" s="109"/>
      <c r="F12" s="109"/>
      <c r="G12" s="109"/>
      <c r="H12" s="109"/>
      <c r="I12" s="112" t="s">
        <v>20</v>
      </c>
      <c r="J12" s="109"/>
      <c r="K12" s="110"/>
      <c r="Q12" s="67" t="s">
        <v>21</v>
      </c>
    </row>
    <row r="13" spans="1:26" ht="14" thickBot="1" x14ac:dyDescent="0.2">
      <c r="D13" s="6" t="s">
        <v>22</v>
      </c>
      <c r="E13" s="7" t="s">
        <v>23</v>
      </c>
      <c r="F13" s="57" t="s">
        <v>24</v>
      </c>
      <c r="G13" s="57" t="s">
        <v>25</v>
      </c>
      <c r="H13" s="58" t="s">
        <v>26</v>
      </c>
      <c r="I13" s="7" t="s">
        <v>27</v>
      </c>
      <c r="J13" s="7" t="s">
        <v>28</v>
      </c>
      <c r="K13" s="8" t="s">
        <v>29</v>
      </c>
      <c r="L13" t="s">
        <v>30</v>
      </c>
      <c r="M13" t="s">
        <v>31</v>
      </c>
      <c r="N13" t="s">
        <v>32</v>
      </c>
      <c r="O13" t="s">
        <v>33</v>
      </c>
      <c r="Q13" s="67" t="s">
        <v>34</v>
      </c>
    </row>
    <row r="14" spans="1:26" ht="17" customHeight="1" x14ac:dyDescent="0.2">
      <c r="C14" s="3" t="s">
        <v>35</v>
      </c>
      <c r="D14" s="25">
        <v>0</v>
      </c>
      <c r="E14" s="69" t="s">
        <v>36</v>
      </c>
      <c r="F14" s="70"/>
      <c r="G14" s="70" t="s">
        <v>37</v>
      </c>
      <c r="H14" s="71"/>
      <c r="I14" s="75"/>
      <c r="J14" s="75"/>
      <c r="K14" s="76"/>
      <c r="L14" s="4">
        <f>Start_date+Start_time</f>
        <v>0</v>
      </c>
      <c r="M14" s="4">
        <f>L14+"1:00"</f>
        <v>4.1666666666666664E-2</v>
      </c>
      <c r="N14" s="5">
        <f>IF(ISBLANK(Distance),"",Open Control_1)</f>
        <v>0</v>
      </c>
      <c r="O14" s="5">
        <f>IF(ISBLANK(Distance),"",Close Control_1)</f>
        <v>4.1666666666666664E-2</v>
      </c>
      <c r="Q14" s="67" t="s">
        <v>38</v>
      </c>
    </row>
    <row r="15" spans="1:26" ht="17" customHeight="1" x14ac:dyDescent="0.2">
      <c r="B15" s="81"/>
      <c r="C15" s="3" t="s">
        <v>39</v>
      </c>
      <c r="D15" s="25">
        <v>33.299999999999997</v>
      </c>
      <c r="E15" s="69" t="s">
        <v>40</v>
      </c>
      <c r="F15" s="70"/>
      <c r="G15" s="70" t="s">
        <v>41</v>
      </c>
      <c r="H15" s="71"/>
      <c r="I15" s="75"/>
      <c r="J15" s="75"/>
      <c r="K15" s="76"/>
      <c r="L15">
        <f>IF(ISBLANK(Distance),"",IF(Distance&gt;1000,(Distance-1000)/26+33.0847,(IF(Distance&gt;600,(Distance-600)/28+18.799,(IF(Distance&gt;400,(Distance-400)/30+12.1324,(IF(Distance&gt;200,(Distance-200)/32+5.8824,Distance/34))))))))</f>
        <v>0.97941176470588232</v>
      </c>
      <c r="M15">
        <f t="shared" ref="M15:M23" si="0">IF(ISBLANK(Distance),"",IF(Distance&gt;=brevet,IF(brevet&gt;1200,(brevet-1200)*75/1000+90,Max_time),IF(Distance&gt;1200,(Distance-1200)*75/1000+90,IF(Distance&gt;1000,(Distance-1000)/(1000/75)+75,IF(Distance&gt;600,(Distance-600)/(400/35)+40,IF(Distance&lt;=60,(Distance/20+1),Distance/15))))))</f>
        <v>2.665</v>
      </c>
      <c r="N15" s="5">
        <f>IF(ISBLANK(Distance),"",Open_time Control_1+(INT(Open)&amp;":"&amp;IF(ROUND(((Open-INT(Open))*60),0)&lt;10,0,"")&amp;ROUND(((Open-INT(Open))*60),0)))</f>
        <v>4.0972222222222222E-2</v>
      </c>
      <c r="O15" s="5">
        <f>IF(ISBLANK(Distance),"",Open_time Control_1+(INT(Close)&amp;":"&amp;IF(ROUND(((Close-INT(Close))*60),0)&lt;10,0,"")&amp;ROUND(((Close-INT(Close))*60),0)))</f>
        <v>0.1111111111111111</v>
      </c>
      <c r="Q15" s="67" t="s">
        <v>42</v>
      </c>
    </row>
    <row r="16" spans="1:26" ht="17" customHeight="1" x14ac:dyDescent="0.2">
      <c r="B16" s="81"/>
      <c r="C16" s="3" t="s">
        <v>43</v>
      </c>
      <c r="D16" s="25">
        <v>86.1</v>
      </c>
      <c r="E16" s="69" t="s">
        <v>44</v>
      </c>
      <c r="F16" s="70"/>
      <c r="G16" s="70" t="s">
        <v>45</v>
      </c>
      <c r="H16" s="71"/>
      <c r="I16" s="75"/>
      <c r="J16" s="75"/>
      <c r="K16" s="76"/>
      <c r="L16">
        <f>IF(ISBLANK(Distance),"",IF(Distance&gt;1000,(Distance-1000)/26+33.0847,(IF(Distance&gt;600,(Distance-600)/28+18.799,(IF(Distance&gt;400,(Distance-400)/30+12.1324,(IF(Distance&gt;200,(Distance-200)/32+5.8824,Distance/34))))))))</f>
        <v>2.5323529411764705</v>
      </c>
      <c r="M16">
        <f t="shared" si="0"/>
        <v>5.7399999999999993</v>
      </c>
      <c r="N16" s="5">
        <f>IF(ISBLANK(Distance),"",Open_time Control_1+(INT(Open)&amp;":"&amp;IF(ROUND(((Open-INT(Open))*60),0)&lt;10,0,"")&amp;ROUND(((Open-INT(Open))*60),0)))</f>
        <v>0.10555555555555556</v>
      </c>
      <c r="O16" s="5">
        <f>IF(ISBLANK(Distance),"",Open_time Control_1+(INT(Close)&amp;":"&amp;IF(ROUND(((Close-INT(Close))*60),0)&lt;10,0,"")&amp;ROUND(((Close-INT(Close))*60),0)))</f>
        <v>0.2388888888888889</v>
      </c>
    </row>
    <row r="17" spans="2:17" ht="17" customHeight="1" x14ac:dyDescent="0.2">
      <c r="B17" s="81"/>
      <c r="C17" s="3" t="s">
        <v>46</v>
      </c>
      <c r="D17" s="25">
        <v>121.1</v>
      </c>
      <c r="E17" s="69" t="s">
        <v>47</v>
      </c>
      <c r="F17" s="70"/>
      <c r="G17" s="70" t="s">
        <v>48</v>
      </c>
      <c r="H17" s="71"/>
      <c r="I17" s="75"/>
      <c r="J17" s="75" t="s">
        <v>49</v>
      </c>
      <c r="K17" s="76"/>
      <c r="L17">
        <f t="shared" ref="L17:L23" si="1">IF(ISBLANK(Distance),"",IF(Distance&gt;1000,(Distance-1000)/26+33.0847,(IF(Distance&gt;600,(Distance-600)/28+18.799,(IF(Distance&gt;400,(Distance-400)/30+12.1324,(IF(Distance&gt;200,(Distance-200)/32+5.8824,Distance/34))))))))</f>
        <v>3.5617647058823527</v>
      </c>
      <c r="M17">
        <f t="shared" si="0"/>
        <v>8.0733333333333324</v>
      </c>
      <c r="N17" s="5">
        <f>IF(ISBLANK(Distance),"",Open_time Control_1+(INT(Open)&amp;":"&amp;IF(ROUND(((Open-INT(Open))*60),0)&lt;10,0,"")&amp;ROUND(((Open-INT(Open))*60),0)))</f>
        <v>0.14861111111111111</v>
      </c>
      <c r="O17" s="5">
        <f>IF(ISBLANK(Distance),"",Open_time Control_1+(INT(Close)&amp;":"&amp;IF(ROUND(((Close-INT(Close))*60),0)&lt;10,0,"")&amp;ROUND(((Close-INT(Close))*60),0)))</f>
        <v>0.33611111111111108</v>
      </c>
    </row>
    <row r="18" spans="2:17" ht="17" customHeight="1" x14ac:dyDescent="0.2">
      <c r="B18" s="81"/>
      <c r="C18" s="3" t="s">
        <v>50</v>
      </c>
      <c r="D18" s="25">
        <v>160.1</v>
      </c>
      <c r="E18" s="69" t="s">
        <v>51</v>
      </c>
      <c r="F18" s="70"/>
      <c r="G18" s="70" t="s">
        <v>45</v>
      </c>
      <c r="H18" s="71"/>
      <c r="I18" s="75"/>
      <c r="J18" s="75"/>
      <c r="K18" s="77"/>
      <c r="L18">
        <f t="shared" si="1"/>
        <v>4.7088235294117649</v>
      </c>
      <c r="M18">
        <f t="shared" si="0"/>
        <v>10.673333333333334</v>
      </c>
      <c r="N18" s="5">
        <f>IF(ISBLANK(Distance),"",Open_time Control_1+(INT(Open)&amp;":"&amp;IF(ROUND(((Open-INT(Open))*60),0)&lt;10,0,"")&amp;ROUND(((Open-INT(Open))*60),0)))</f>
        <v>0.19652777777777777</v>
      </c>
      <c r="O18" s="5">
        <f>IF(ISBLANK(Distance),"",Open_time Control_1+(INT(Close)&amp;":"&amp;IF(ROUND(((Close-INT(Close))*60),0)&lt;10,0,"")&amp;ROUND(((Close-INT(Close))*60),0)))</f>
        <v>0.44444444444444442</v>
      </c>
      <c r="Q18" s="86"/>
    </row>
    <row r="19" spans="2:17" ht="17" customHeight="1" x14ac:dyDescent="0.2">
      <c r="B19" s="81"/>
      <c r="C19" s="3" t="s">
        <v>52</v>
      </c>
      <c r="D19" s="25">
        <v>200.6</v>
      </c>
      <c r="E19" s="69" t="s">
        <v>36</v>
      </c>
      <c r="F19" s="70"/>
      <c r="G19" s="70" t="s">
        <v>53</v>
      </c>
      <c r="H19" s="71"/>
      <c r="I19" s="75"/>
      <c r="J19" s="75"/>
      <c r="K19" s="76"/>
      <c r="L19">
        <f t="shared" si="1"/>
        <v>5.9011499999999995</v>
      </c>
      <c r="M19">
        <f t="shared" si="0"/>
        <v>13.5</v>
      </c>
      <c r="N19" s="5">
        <f>IF(ISBLANK(Distance),"",Open_time Control_1+(INT(Open)&amp;":"&amp;IF(ROUND(((Open-INT(Open))*60),0)&lt;10,0,"")&amp;ROUND(((Open-INT(Open))*60),0)))</f>
        <v>0.24583333333333335</v>
      </c>
      <c r="O19" s="5">
        <f>IF(ISBLANK(Distance),"",Open_time Control_1+(INT(Close)&amp;":"&amp;IF(ROUND(((Close-INT(Close))*60),0)&lt;10,0,"")&amp;ROUND(((Close-INT(Close))*60),0)))</f>
        <v>0.5625</v>
      </c>
    </row>
    <row r="20" spans="2:17" ht="17" customHeight="1" x14ac:dyDescent="0.2">
      <c r="B20" s="81"/>
      <c r="C20" s="3" t="s">
        <v>54</v>
      </c>
      <c r="D20" s="25"/>
      <c r="E20" s="69"/>
      <c r="F20" s="70"/>
      <c r="G20" s="70"/>
      <c r="H20" s="71"/>
      <c r="I20" s="75"/>
      <c r="J20" s="75"/>
      <c r="K20" s="76"/>
      <c r="L20" t="str">
        <f t="shared" si="1"/>
        <v/>
      </c>
      <c r="M20" t="str">
        <f t="shared" si="0"/>
        <v/>
      </c>
      <c r="N20" s="5" t="str">
        <f>IF(ISBLANK(Distance),"",Open_time Control_1+(INT(Open)&amp;":"&amp;IF(ROUND(((Open-INT(Open))*60),0)&lt;10,0,"")&amp;ROUND(((Open-INT(Open))*60),0)))</f>
        <v/>
      </c>
      <c r="O20" s="5" t="str">
        <f>IF(ISBLANK(Distance),"",Open_time Control_1+(INT(Close)&amp;":"&amp;IF(ROUND(((Close-INT(Close))*60),0)&lt;10,0,"")&amp;ROUND(((Close-INT(Close))*60),0)))</f>
        <v/>
      </c>
    </row>
    <row r="21" spans="2:17" ht="17" customHeight="1" x14ac:dyDescent="0.2">
      <c r="B21" s="81"/>
      <c r="C21" s="3" t="s">
        <v>55</v>
      </c>
      <c r="D21" s="25"/>
      <c r="E21" s="69"/>
      <c r="F21" s="70"/>
      <c r="G21" s="70"/>
      <c r="H21" s="71"/>
      <c r="I21" s="75"/>
      <c r="J21" s="75"/>
      <c r="K21" s="76"/>
      <c r="L21" t="str">
        <f t="shared" si="1"/>
        <v/>
      </c>
      <c r="M21" t="str">
        <f t="shared" si="0"/>
        <v/>
      </c>
      <c r="N21" s="5" t="str">
        <f>IF(ISBLANK(Distance),"",Open_time Control_1+(INT(Open)&amp;":"&amp;IF(ROUND(((Open-INT(Open))*60),0)&lt;10,0,"")&amp;ROUND(((Open-INT(Open))*60),0)))</f>
        <v/>
      </c>
      <c r="O21" s="5" t="str">
        <f>IF(ISBLANK(Distance),"",Open_time Control_1+(INT(Close)&amp;":"&amp;IF(ROUND(((Close-INT(Close))*60),0)&lt;10,0,"")&amp;ROUND(((Close-INT(Close))*60),0)))</f>
        <v/>
      </c>
    </row>
    <row r="22" spans="2:17" ht="17" customHeight="1" x14ac:dyDescent="0.2">
      <c r="B22" s="81"/>
      <c r="C22" s="3" t="s">
        <v>56</v>
      </c>
      <c r="D22" s="25"/>
      <c r="E22" s="69"/>
      <c r="F22" s="70"/>
      <c r="G22" s="70"/>
      <c r="H22" s="71"/>
      <c r="I22" s="75"/>
      <c r="J22" s="75"/>
      <c r="K22" s="77"/>
      <c r="L22" t="str">
        <f t="shared" si="1"/>
        <v/>
      </c>
      <c r="M22" t="str">
        <f t="shared" si="0"/>
        <v/>
      </c>
      <c r="N22" s="5" t="str">
        <f>IF(ISBLANK(Distance),"",Open_time Control_1+(INT(Open)&amp;":"&amp;IF(ROUND(((Open-INT(Open))*60),0)&lt;10,0,"")&amp;ROUND(((Open-INT(Open))*60),0)))</f>
        <v/>
      </c>
      <c r="O22" s="5" t="str">
        <f>IF(ISBLANK(Distance),"",Open_time Control_1+(INT(Close)&amp;":"&amp;IF(ROUND(((Close-INT(Close))*60),0)&lt;10,0,"")&amp;ROUND(((Close-INT(Close))*60),0)))</f>
        <v/>
      </c>
    </row>
    <row r="23" spans="2:17" ht="17" customHeight="1" thickBot="1" x14ac:dyDescent="0.25">
      <c r="B23" s="81"/>
      <c r="C23" s="3" t="s">
        <v>57</v>
      </c>
      <c r="D23" s="48"/>
      <c r="E23" s="72"/>
      <c r="F23" s="73"/>
      <c r="G23" s="73"/>
      <c r="H23" s="74"/>
      <c r="I23" s="78"/>
      <c r="J23" s="78"/>
      <c r="K23" s="79"/>
      <c r="L23" t="str">
        <f t="shared" si="1"/>
        <v/>
      </c>
      <c r="M23" t="str">
        <f t="shared" si="0"/>
        <v/>
      </c>
      <c r="N23" s="5" t="str">
        <f>IF(ISBLANK(Distance),"",Open_time Control_1+(INT(Open)&amp;":"&amp;IF(ROUND(((Open-INT(Open))*60),0)&lt;10,0,"")&amp;ROUND(((Open-INT(Open))*60),0)))</f>
        <v/>
      </c>
      <c r="O23" s="5" t="str">
        <f>IF(ISBLANK(Distance),"",Open_time Control_1+(INT(Close)&amp;":"&amp;IF(ROUND(((Close-INT(Close))*60),0)&lt;10,0,"")&amp;ROUND(((Close-INT(Close))*60),0)))</f>
        <v/>
      </c>
    </row>
    <row r="24" spans="2:17" ht="7" customHeight="1" thickBot="1" x14ac:dyDescent="0.25">
      <c r="D24" s="59"/>
      <c r="E24" s="60"/>
      <c r="F24" s="61"/>
      <c r="G24" s="61"/>
      <c r="H24" s="61"/>
      <c r="I24" s="61"/>
      <c r="J24" s="61"/>
      <c r="K24" s="62"/>
      <c r="N24" s="5"/>
      <c r="O24" s="5"/>
    </row>
    <row r="25" spans="2:17" ht="14" thickBot="1" x14ac:dyDescent="0.2">
      <c r="D25" s="108" t="s">
        <v>58</v>
      </c>
      <c r="E25" s="109"/>
      <c r="F25" s="109"/>
      <c r="G25" s="109"/>
      <c r="H25" s="109"/>
      <c r="I25" s="112" t="s">
        <v>59</v>
      </c>
      <c r="J25" s="109"/>
      <c r="K25" s="110"/>
    </row>
    <row r="26" spans="2:17" ht="14" thickBot="1" x14ac:dyDescent="0.2">
      <c r="D26" s="6" t="s">
        <v>22</v>
      </c>
      <c r="E26" s="7" t="s">
        <v>23</v>
      </c>
      <c r="F26" s="57" t="s">
        <v>24</v>
      </c>
      <c r="G26" s="57" t="s">
        <v>25</v>
      </c>
      <c r="H26" s="58" t="s">
        <v>26</v>
      </c>
      <c r="I26" s="7" t="s">
        <v>27</v>
      </c>
      <c r="J26" s="7" t="s">
        <v>28</v>
      </c>
      <c r="K26" s="8" t="s">
        <v>29</v>
      </c>
      <c r="L26" t="s">
        <v>30</v>
      </c>
      <c r="M26" t="s">
        <v>31</v>
      </c>
      <c r="N26" t="s">
        <v>32</v>
      </c>
      <c r="O26" t="s">
        <v>33</v>
      </c>
    </row>
    <row r="27" spans="2:17" ht="16" x14ac:dyDescent="0.2">
      <c r="D27" s="25"/>
      <c r="E27" s="69"/>
      <c r="F27" s="70"/>
      <c r="G27" s="70"/>
      <c r="H27" s="71"/>
      <c r="I27" s="75"/>
      <c r="J27" s="75"/>
      <c r="K27" s="76"/>
      <c r="L27" t="str">
        <f>IF(ISBLANK(D27),"",IF(D27&gt;1000,(D27-1000)/26+33.0847,(IF(D27&gt;600,(D27-600)/28+18.799,(IF(D27&gt;400,(D27-400)/30+12.1324,(IF(D27&gt;200,(D27-200)/32+5.8824,D27/34))))))))</f>
        <v/>
      </c>
      <c r="M27" t="str">
        <f t="shared" ref="M27:M36" si="2">IF(ISBLANK(D27),"",IF((D27=0),1,IF(D27&gt;=brevet,IF(brevet&gt;1200,(brevet-1200)*75/1000+90,Max_time),IF(D27&gt;1200,(D27-1200)*75/1000+90,IF(D27&gt;1000,(D27-1000)/(1000/75)+75,IF(D27&gt;600,(D27-600)/(400/35)+40,IF(D27&lt;=60,D27/20+1,D27/15)))))))</f>
        <v/>
      </c>
      <c r="N27" s="5" t="str">
        <f>IF(ISBLANK(D27),"",Open_time Control_1+(INT(L27)&amp;":"&amp;IF(ROUND(((L27-INT(L27))*60),0)&lt;10,0,"")&amp;ROUND(((L27-INT(L27))*60),0)))</f>
        <v/>
      </c>
      <c r="O27" s="5" t="str">
        <f>IF(ISBLANK(D27),"",Open_time Control_1+(INT(M27)&amp;":"&amp;IF(ROUND(((M27-INT(M27))*60),0)&lt;10,0,"")&amp;ROUND(((M27-INT(M27))*60),0)))</f>
        <v/>
      </c>
    </row>
    <row r="28" spans="2:17" ht="17" customHeight="1" x14ac:dyDescent="0.2">
      <c r="D28" s="25"/>
      <c r="E28" s="69"/>
      <c r="F28" s="70"/>
      <c r="G28" s="70"/>
      <c r="H28" s="71"/>
      <c r="I28" s="75"/>
      <c r="J28" s="75"/>
      <c r="K28" s="77"/>
      <c r="L28" t="str">
        <f t="shared" ref="L28:L36" si="3">IF(ISBLANK(D28),"",IF(D28&gt;1000,(D28-1000)/26+33.0847,(IF(D28&gt;600,(D28-600)/28+18.799,(IF(D28&gt;400,(D28-400)/30+12.1324,(IF(D28&gt;200,(D28-200)/32+5.8824,D28/34))))))))</f>
        <v/>
      </c>
      <c r="M28" t="str">
        <f t="shared" si="2"/>
        <v/>
      </c>
      <c r="N28" s="5" t="str">
        <f>IF(ISBLANK(D28),"",Open_time Control_1+(INT(L28)&amp;":"&amp;IF(ROUND(((L28-INT(L28))*60),0)&lt;10,0,"")&amp;ROUND(((L28-INT(L28))*60),0)))</f>
        <v/>
      </c>
      <c r="O28" s="5" t="str">
        <f>IF(ISBLANK(D28),"",Open_time Control_1+(INT(M28)&amp;":"&amp;IF(ROUND(((M28-INT(M28))*60),0)&lt;10,0,"")&amp;ROUND(((M28-INT(M28))*60),0)))</f>
        <v/>
      </c>
    </row>
    <row r="29" spans="2:17" ht="17" customHeight="1" x14ac:dyDescent="0.2">
      <c r="D29" s="25"/>
      <c r="E29" s="69"/>
      <c r="F29" s="70"/>
      <c r="G29" s="70"/>
      <c r="H29" s="71"/>
      <c r="I29" s="75"/>
      <c r="J29" s="75"/>
      <c r="K29" s="77"/>
      <c r="L29" t="str">
        <f t="shared" si="3"/>
        <v/>
      </c>
      <c r="M29" t="str">
        <f t="shared" si="2"/>
        <v/>
      </c>
      <c r="N29" s="5" t="str">
        <f>IF(ISBLANK(D29),"",Open_time Control_1+(INT(L29)&amp;":"&amp;IF(ROUND(((L29-INT(L29))*60),0)&lt;10,0,"")&amp;ROUND(((L29-INT(L29))*60),0)))</f>
        <v/>
      </c>
      <c r="O29" s="5" t="str">
        <f>IF(ISBLANK(D29),"",Open_time Control_1+(INT(M29)&amp;":"&amp;IF(ROUND(((M29-INT(M29))*60),0)&lt;10,0,"")&amp;ROUND(((M29-INT(M29))*60),0)))</f>
        <v/>
      </c>
    </row>
    <row r="30" spans="2:17" ht="17" customHeight="1" x14ac:dyDescent="0.2">
      <c r="D30" s="25"/>
      <c r="E30" s="69"/>
      <c r="F30" s="70"/>
      <c r="G30" s="70"/>
      <c r="H30" s="71"/>
      <c r="I30" s="75"/>
      <c r="J30" s="75"/>
      <c r="K30" s="76"/>
      <c r="L30" t="str">
        <f t="shared" si="3"/>
        <v/>
      </c>
      <c r="M30" t="str">
        <f t="shared" si="2"/>
        <v/>
      </c>
      <c r="N30" s="5" t="str">
        <f>IF(ISBLANK(D30),"",Open_time Control_1+(INT(L30)&amp;":"&amp;IF(ROUND(((L30-INT(L30))*60),0)&lt;10,0,"")&amp;ROUND(((L30-INT(L30))*60),0)))</f>
        <v/>
      </c>
      <c r="O30" s="5" t="str">
        <f>IF(ISBLANK(D30),"",Open_time Control_1+(INT(M30)&amp;":"&amp;IF(ROUND(((M30-INT(M30))*60),0)&lt;10,0,"")&amp;ROUND(((M30-INT(M30))*60),0)))</f>
        <v/>
      </c>
    </row>
    <row r="31" spans="2:17" ht="17" customHeight="1" x14ac:dyDescent="0.2">
      <c r="D31" s="25"/>
      <c r="E31" s="69"/>
      <c r="F31" s="70"/>
      <c r="G31" s="70"/>
      <c r="H31" s="71"/>
      <c r="I31" s="75"/>
      <c r="J31" s="75"/>
      <c r="K31" s="76"/>
      <c r="L31" t="str">
        <f t="shared" si="3"/>
        <v/>
      </c>
      <c r="M31" t="str">
        <f t="shared" si="2"/>
        <v/>
      </c>
      <c r="N31" s="5" t="str">
        <f>IF(ISBLANK(D31),"",Open_time Control_1+(INT(L31)&amp;":"&amp;IF(ROUND(((L31-INT(L31))*60),0)&lt;10,0,"")&amp;ROUND(((L31-INT(L31))*60),0)))</f>
        <v/>
      </c>
      <c r="O31" s="5" t="str">
        <f>IF(ISBLANK(D31),"",Open_time Control_1+(INT(M31)&amp;":"&amp;IF(ROUND(((M31-INT(M31))*60),0)&lt;10,0,"")&amp;ROUND(((M31-INT(M31))*60),0)))</f>
        <v/>
      </c>
    </row>
    <row r="32" spans="2:17" ht="17" customHeight="1" x14ac:dyDescent="0.2">
      <c r="D32" s="25"/>
      <c r="E32" s="69"/>
      <c r="F32" s="70"/>
      <c r="G32" s="70"/>
      <c r="H32" s="71"/>
      <c r="I32" s="75"/>
      <c r="J32" s="75"/>
      <c r="K32" s="76"/>
      <c r="L32" t="str">
        <f t="shared" si="3"/>
        <v/>
      </c>
      <c r="M32" t="str">
        <f t="shared" si="2"/>
        <v/>
      </c>
      <c r="N32" s="5" t="str">
        <f>IF(ISBLANK(D32),"",Open_time Control_1+(INT(L32)&amp;":"&amp;IF(ROUND(((L32-INT(L32))*60),0)&lt;10,0,"")&amp;ROUND(((L32-INT(L32))*60),0)))</f>
        <v/>
      </c>
      <c r="O32" s="5" t="str">
        <f>IF(ISBLANK(D32),"",Open_time Control_1+(INT(M32)&amp;":"&amp;IF(ROUND(((M32-INT(M32))*60),0)&lt;10,0,"")&amp;ROUND(((M32-INT(M32))*60),0)))</f>
        <v/>
      </c>
    </row>
    <row r="33" spans="4:15" ht="17" customHeight="1" x14ac:dyDescent="0.2">
      <c r="D33" s="25"/>
      <c r="E33" s="69"/>
      <c r="F33" s="70"/>
      <c r="G33" s="70"/>
      <c r="H33" s="71"/>
      <c r="I33" s="75"/>
      <c r="J33" s="75"/>
      <c r="K33" s="77"/>
      <c r="L33" t="str">
        <f t="shared" si="3"/>
        <v/>
      </c>
      <c r="M33" t="str">
        <f t="shared" si="2"/>
        <v/>
      </c>
      <c r="N33" s="5" t="str">
        <f>IF(ISBLANK(D33),"",Open_time Control_1+(INT(L33)&amp;":"&amp;IF(ROUND(((L33-INT(L33))*60),0)&lt;10,0,"")&amp;ROUND(((L33-INT(L33))*60),0)))</f>
        <v/>
      </c>
      <c r="O33" s="5" t="str">
        <f>IF(ISBLANK(D33),"",Open_time Control_1+(INT(M33)&amp;":"&amp;IF(ROUND(((M33-INT(M33))*60),0)&lt;10,0,"")&amp;ROUND(((M33-INT(M33))*60),0)))</f>
        <v/>
      </c>
    </row>
    <row r="34" spans="4:15" ht="17" customHeight="1" x14ac:dyDescent="0.2">
      <c r="D34" s="25"/>
      <c r="E34" s="69"/>
      <c r="F34" s="70"/>
      <c r="G34" s="70"/>
      <c r="H34" s="71"/>
      <c r="I34" s="75"/>
      <c r="J34" s="75"/>
      <c r="K34" s="76"/>
      <c r="L34" t="str">
        <f t="shared" si="3"/>
        <v/>
      </c>
      <c r="M34" t="str">
        <f t="shared" si="2"/>
        <v/>
      </c>
      <c r="N34" s="5" t="str">
        <f>IF(ISBLANK(D34),"",Open_time Control_1+(INT(L34)&amp;":"&amp;IF(ROUND(((L34-INT(L34))*60),0)&lt;10,0,"")&amp;ROUND(((L34-INT(L34))*60),0)))</f>
        <v/>
      </c>
      <c r="O34" s="5" t="str">
        <f>IF(ISBLANK(D34),"",Open_time Control_1+(INT(M34)&amp;":"&amp;IF(ROUND(((M34-INT(M34))*60),0)&lt;10,0,"")&amp;ROUND(((M34-INT(M34))*60),0)))</f>
        <v/>
      </c>
    </row>
    <row r="35" spans="4:15" ht="17" customHeight="1" x14ac:dyDescent="0.2">
      <c r="D35" s="25"/>
      <c r="E35" s="69"/>
      <c r="F35" s="70"/>
      <c r="G35" s="70"/>
      <c r="H35" s="71"/>
      <c r="I35" s="75"/>
      <c r="J35" s="75"/>
      <c r="K35" s="76"/>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 customHeight="1" thickBot="1" x14ac:dyDescent="0.25">
      <c r="D36" s="48"/>
      <c r="E36" s="72"/>
      <c r="F36" s="73"/>
      <c r="G36" s="73"/>
      <c r="H36" s="74"/>
      <c r="I36" s="78"/>
      <c r="J36" s="78"/>
      <c r="K36" s="79"/>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7" customHeight="1" thickBot="1" x14ac:dyDescent="0.25">
      <c r="D37" s="59"/>
      <c r="E37" s="60"/>
      <c r="F37" s="61"/>
      <c r="G37" s="61"/>
      <c r="H37" s="61"/>
      <c r="I37" s="61"/>
      <c r="J37" s="61"/>
      <c r="K37" s="62"/>
      <c r="N37" s="5"/>
      <c r="O37" s="5"/>
    </row>
    <row r="38" spans="4:15" ht="14" thickBot="1" x14ac:dyDescent="0.2">
      <c r="D38" s="108" t="s">
        <v>60</v>
      </c>
      <c r="E38" s="109"/>
      <c r="F38" s="109"/>
      <c r="G38" s="109"/>
      <c r="H38" s="109"/>
      <c r="I38" s="108" t="s">
        <v>61</v>
      </c>
      <c r="J38" s="109"/>
      <c r="K38" s="110"/>
    </row>
    <row r="39" spans="4:15" ht="14" thickBot="1" x14ac:dyDescent="0.2">
      <c r="D39" s="6" t="s">
        <v>22</v>
      </c>
      <c r="E39" s="7" t="s">
        <v>23</v>
      </c>
      <c r="F39" s="57" t="s">
        <v>24</v>
      </c>
      <c r="G39" s="57" t="s">
        <v>25</v>
      </c>
      <c r="H39" s="87" t="s">
        <v>26</v>
      </c>
      <c r="I39" s="7" t="s">
        <v>27</v>
      </c>
      <c r="J39" s="7" t="s">
        <v>28</v>
      </c>
      <c r="K39" s="8" t="s">
        <v>29</v>
      </c>
      <c r="L39" t="s">
        <v>30</v>
      </c>
      <c r="M39" t="s">
        <v>31</v>
      </c>
      <c r="N39" t="s">
        <v>32</v>
      </c>
      <c r="O39" t="s">
        <v>33</v>
      </c>
    </row>
    <row r="40" spans="4:15" ht="16" x14ac:dyDescent="0.2">
      <c r="D40" s="25"/>
      <c r="E40" s="69"/>
      <c r="F40" s="70"/>
      <c r="G40" s="70"/>
      <c r="H40" s="88"/>
      <c r="I40" s="75"/>
      <c r="J40" s="75"/>
      <c r="K40" s="76"/>
      <c r="L40" t="str">
        <f>IF(ISBLANK(D40),"",IF(D40&gt;1000,(D40-1000)/26+33.0847,(IF(D40&gt;600,(D40-600)/28+18.799,(IF(D40&gt;400,(D40-400)/30+12.1324,(IF(D40&gt;200,(D40-200)/32+5.8824,D40/34))))))))</f>
        <v/>
      </c>
      <c r="M40" t="str">
        <f t="shared" ref="M40:M49" si="4">IF(ISBLANK(D40),"",IF((D40=0),1,IF(D40&gt;=brevet,IF(brevet&gt;1200,(brevet-1200)*75/1000+90,Max_time),IF(D40&gt;1200,(D40-1200)*75/1000+90,IF(D40&gt;1000,(D40-1000)/(1000/75)+75,IF(D40&gt;600,(D40-600)/(400/35)+40,IF(D40&lt;=60,D40/20+1,D40/15)))))))</f>
        <v/>
      </c>
      <c r="N40" s="5" t="str">
        <f>IF(ISBLANK(D40),"",Open_time Control_1+(INT(L40)&amp;":"&amp;IF(ROUND(((L40-INT(L40))*60),0)&lt;10,0,"")&amp;ROUND(((L40-INT(L40))*60),0)))</f>
        <v/>
      </c>
      <c r="O40" s="5" t="str">
        <f>IF(ISBLANK(D40),"",Open_time Control_1+(INT(M40)&amp;":"&amp;IF(ROUND(((M40-INT(M40))*60),0)&lt;10,0,"")&amp;ROUND(((M40-INT(M40))*60),0)))</f>
        <v/>
      </c>
    </row>
    <row r="41" spans="4:15" ht="16" x14ac:dyDescent="0.2">
      <c r="D41" s="25"/>
      <c r="E41" s="69"/>
      <c r="F41" s="70"/>
      <c r="G41" s="70"/>
      <c r="H41" s="71"/>
      <c r="I41" s="75"/>
      <c r="J41" s="75"/>
      <c r="K41" s="77"/>
      <c r="L41" t="str">
        <f t="shared" ref="L41:L49" si="5">IF(ISBLANK(D41),"",IF(D41&gt;1000,(D41-1000)/26+33.0847,(IF(D41&gt;600,(D41-600)/28+18.799,(IF(D41&gt;400,(D41-400)/30+12.1324,(IF(D41&gt;200,(D41-200)/32+5.8824,D41/34))))))))</f>
        <v/>
      </c>
      <c r="M41" t="str">
        <f t="shared" si="4"/>
        <v/>
      </c>
      <c r="N41" s="5" t="str">
        <f>IF(ISBLANK(D41),"",Open_time Control_1+(INT(L41)&amp;":"&amp;IF(ROUND(((L41-INT(L41))*60),0)&lt;10,0,"")&amp;ROUND(((L41-INT(L41))*60),0)))</f>
        <v/>
      </c>
      <c r="O41" s="5" t="str">
        <f>IF(ISBLANK(D41),"",Open_time Control_1+(INT(M41)&amp;":"&amp;IF(ROUND(((M41-INT(M41))*60),0)&lt;10,0,"")&amp;ROUND(((M41-INT(M41))*60),0)))</f>
        <v/>
      </c>
    </row>
    <row r="42" spans="4:15" ht="16" x14ac:dyDescent="0.2">
      <c r="D42" s="25"/>
      <c r="E42" s="80"/>
      <c r="F42" s="70"/>
      <c r="G42" s="70"/>
      <c r="H42" s="71"/>
      <c r="I42" s="75"/>
      <c r="J42" s="75"/>
      <c r="K42" s="77"/>
      <c r="L42" t="str">
        <f t="shared" si="5"/>
        <v/>
      </c>
      <c r="M42" t="str">
        <f t="shared" si="4"/>
        <v/>
      </c>
      <c r="N42" s="5" t="str">
        <f>IF(ISBLANK(D42),"",Open_time Control_1+(INT(L42)&amp;":"&amp;IF(ROUND(((L42-INT(L42))*60),0)&lt;10,0,"")&amp;ROUND(((L42-INT(L42))*60),0)))</f>
        <v/>
      </c>
      <c r="O42" s="5" t="str">
        <f>IF(ISBLANK(D42),"",Open_time Control_1+(INT(M42)&amp;":"&amp;IF(ROUND(((M42-INT(M42))*60),0)&lt;10,0,"")&amp;ROUND(((M42-INT(M42))*60),0)))</f>
        <v/>
      </c>
    </row>
    <row r="43" spans="4:15" ht="16" x14ac:dyDescent="0.2">
      <c r="D43" s="25"/>
      <c r="E43" s="69"/>
      <c r="F43" s="70"/>
      <c r="G43" s="70"/>
      <c r="H43" s="71"/>
      <c r="I43" s="75"/>
      <c r="J43" s="75"/>
      <c r="K43" s="76"/>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6" x14ac:dyDescent="0.2">
      <c r="D44" s="25"/>
      <c r="E44" s="69"/>
      <c r="F44" s="70"/>
      <c r="G44" s="70"/>
      <c r="H44" s="71"/>
      <c r="I44" s="75"/>
      <c r="J44" s="75"/>
      <c r="K44" s="76"/>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6" x14ac:dyDescent="0.2">
      <c r="D45" s="25"/>
      <c r="E45" s="69"/>
      <c r="F45" s="70"/>
      <c r="G45" s="70"/>
      <c r="H45" s="71"/>
      <c r="I45" s="75"/>
      <c r="J45" s="75"/>
      <c r="K45" s="76"/>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6" x14ac:dyDescent="0.2">
      <c r="D46" s="25"/>
      <c r="E46" s="69"/>
      <c r="F46" s="70"/>
      <c r="G46" s="70"/>
      <c r="H46" s="71"/>
      <c r="I46" s="75"/>
      <c r="J46" s="75"/>
      <c r="K46" s="77"/>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6" x14ac:dyDescent="0.2">
      <c r="D47" s="25"/>
      <c r="E47" s="69"/>
      <c r="F47" s="70"/>
      <c r="G47" s="70"/>
      <c r="H47" s="71"/>
      <c r="I47" s="75"/>
      <c r="J47" s="75"/>
      <c r="K47" s="76"/>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6" x14ac:dyDescent="0.2">
      <c r="D48" s="25"/>
      <c r="E48" s="69"/>
      <c r="F48" s="70"/>
      <c r="G48" s="70"/>
      <c r="H48" s="71"/>
      <c r="I48" s="75"/>
      <c r="J48" s="75"/>
      <c r="K48" s="76"/>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7" thickBot="1" x14ac:dyDescent="0.25">
      <c r="D49" s="48"/>
      <c r="E49" s="72"/>
      <c r="F49" s="73"/>
      <c r="G49" s="73"/>
      <c r="H49" s="74"/>
      <c r="I49" s="78"/>
      <c r="J49" s="78"/>
      <c r="K49" s="79"/>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sheetData>
  <sheetProtection algorithmName="SHA-512" hashValue="8ATjRc/L1tkX0X9n8vWAujSih7VjQgR4Gm1AUMiMNmIEM0Ks0LMyy6Zny+wLDDf98ZixB0hvBn2H0qG5vGQOjQ==" saltValue="5u/p/vbWEv2+CxFHQHaMLg==" spinCount="100000" sheet="1" objects="1" scenarios="1" selectLockedCells="1"/>
  <mergeCells count="10">
    <mergeCell ref="Q1:Z4"/>
    <mergeCell ref="A1:H1"/>
    <mergeCell ref="B7:H7"/>
    <mergeCell ref="D38:H38"/>
    <mergeCell ref="I38:K38"/>
    <mergeCell ref="J5:K5"/>
    <mergeCell ref="D12:H12"/>
    <mergeCell ref="D25:H25"/>
    <mergeCell ref="I12:K12"/>
    <mergeCell ref="I25:K25"/>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tabSelected="1" zoomScale="92" zoomScaleNormal="92"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21" t="s">
        <v>62</v>
      </c>
      <c r="B1" s="121"/>
      <c r="C1" s="121"/>
      <c r="D1" s="121"/>
      <c r="E1" s="121"/>
      <c r="F1" s="121"/>
      <c r="G1" s="121"/>
      <c r="H1" s="26" t="s">
        <v>63</v>
      </c>
    </row>
    <row r="2" spans="1:22" ht="33.75" customHeight="1" thickBot="1" x14ac:dyDescent="0.25">
      <c r="A2" s="68" t="s">
        <v>64</v>
      </c>
      <c r="B2" s="9" t="s">
        <v>30</v>
      </c>
      <c r="C2" s="9" t="s">
        <v>31</v>
      </c>
      <c r="D2" s="9" t="s">
        <v>23</v>
      </c>
      <c r="E2" s="9" t="s">
        <v>65</v>
      </c>
      <c r="F2" s="9" t="s">
        <v>66</v>
      </c>
      <c r="G2" s="68" t="s">
        <v>67</v>
      </c>
      <c r="H2" s="26" t="s">
        <v>63</v>
      </c>
      <c r="K2" s="119" t="s">
        <v>68</v>
      </c>
      <c r="L2" s="119"/>
      <c r="M2" s="119"/>
      <c r="N2" s="119"/>
      <c r="O2" s="119"/>
      <c r="P2" s="119"/>
      <c r="Q2" s="119"/>
      <c r="R2" s="119"/>
      <c r="S2" s="119"/>
      <c r="T2" s="119"/>
      <c r="U2" s="119"/>
    </row>
    <row r="3" spans="1:22" ht="36" customHeight="1" x14ac:dyDescent="0.45">
      <c r="A3" s="27"/>
      <c r="B3" s="28">
        <f>Control_1 Open_time</f>
        <v>0</v>
      </c>
      <c r="C3" s="28">
        <f>Control_1 Close_time</f>
        <v>4.1666666666666664E-2</v>
      </c>
      <c r="D3" s="29"/>
      <c r="E3" s="30" t="str">
        <f>IF(ISBLANK(Control_1 Establishment_1),"",Control_1 Establishment_1)</f>
        <v/>
      </c>
      <c r="F3" s="96" t="str">
        <f>IF(ISBLANK('Control Entry'!I14),"",'Control Entry'!I14)</f>
        <v/>
      </c>
      <c r="G3" s="97"/>
      <c r="H3" s="26" t="s">
        <v>63</v>
      </c>
      <c r="K3" s="14"/>
      <c r="O3" s="127" t="s">
        <v>69</v>
      </c>
      <c r="P3" s="127"/>
      <c r="Q3" s="127"/>
      <c r="R3" s="127"/>
      <c r="S3" s="84" t="str">
        <f>IF('Control Entry'!D27=0,"","#1")</f>
        <v/>
      </c>
      <c r="U3" s="40"/>
    </row>
    <row r="4" spans="1:22" ht="36" customHeight="1" x14ac:dyDescent="0.2">
      <c r="A4" s="36">
        <f>IF(ISBLANK(Distance Control_1),"",Control_1 Distance)</f>
        <v>0</v>
      </c>
      <c r="B4" s="37">
        <f>Control_1 Open_time</f>
        <v>0</v>
      </c>
      <c r="C4" s="37">
        <f>Control_1 Close_time</f>
        <v>4.1666666666666664E-2</v>
      </c>
      <c r="D4" s="38" t="str">
        <f>IF(ISBLANK(Locale Control_1),"",Locale Control_1)</f>
        <v xml:space="preserve">Cultus Lake Rd/Sunnyside Rd </v>
      </c>
      <c r="E4" s="30" t="str">
        <f>IF(ISBLANK(Control_1 Establishment_2),"",Control_1 Establishment_2)</f>
        <v>Esso Station</v>
      </c>
      <c r="F4" s="98" t="str">
        <f>IF(ISBLANK('Control Entry'!J14),"",'Control Entry'!J14)</f>
        <v/>
      </c>
      <c r="G4" s="97"/>
      <c r="H4" s="26" t="s">
        <v>63</v>
      </c>
      <c r="K4" s="14"/>
      <c r="M4" s="123" t="str">
        <f>IF(ISBLANK(brevet),"",brevet&amp;" km Randonnée")</f>
        <v>200 km Randonnée</v>
      </c>
      <c r="N4" s="123"/>
      <c r="O4" s="123"/>
      <c r="P4" s="123"/>
      <c r="Q4" s="123"/>
      <c r="R4" s="123"/>
      <c r="S4" s="123"/>
      <c r="T4" s="123"/>
      <c r="U4" s="41"/>
    </row>
    <row r="5" spans="1:22" ht="36" customHeight="1" thickBot="1" x14ac:dyDescent="0.25">
      <c r="A5" s="31"/>
      <c r="B5" s="32">
        <f>Control_1 Open_time</f>
        <v>0</v>
      </c>
      <c r="C5" s="32">
        <f>Control_1 Close_time</f>
        <v>4.1666666666666664E-2</v>
      </c>
      <c r="D5" s="33"/>
      <c r="E5" s="34" t="str">
        <f>IF(ISBLANK(Control_1 Establishment_3),"",Control_1 Establishment_3)</f>
        <v/>
      </c>
      <c r="F5" s="99" t="str">
        <f>IF(ISBLANK('Control Entry'!K14),"",'Control Entry'!K14)</f>
        <v/>
      </c>
      <c r="G5" s="100"/>
      <c r="H5" s="26" t="s">
        <v>63</v>
      </c>
      <c r="K5" s="14"/>
      <c r="M5" s="15"/>
      <c r="N5" s="125" t="s">
        <v>70</v>
      </c>
      <c r="O5" s="125"/>
      <c r="P5" s="55" t="str">
        <f>IF(ISBLANK(Brevet_Number),"",Brevet_Number)</f>
        <v/>
      </c>
      <c r="Q5" s="56"/>
      <c r="R5" s="118" t="str">
        <f>IF(ISBLANK('Control Entry'!$B9),"",'Control Entry'!$B9)</f>
        <v/>
      </c>
      <c r="S5" s="118"/>
      <c r="T5" s="118"/>
      <c r="U5" s="118"/>
      <c r="V5" s="42"/>
    </row>
    <row r="6" spans="1:22" ht="36" customHeight="1" x14ac:dyDescent="0.2">
      <c r="A6" s="27"/>
      <c r="B6" s="28">
        <f>Control_2 Open_time</f>
        <v>4.0972222222222222E-2</v>
      </c>
      <c r="C6" s="28">
        <f>Control_2 Close_time</f>
        <v>0.1111111111111111</v>
      </c>
      <c r="D6" s="35"/>
      <c r="E6" s="30" t="str">
        <f>IF(ISBLANK(Control_2 Establishment_1),"",Control_2 Establishment_1)</f>
        <v/>
      </c>
      <c r="F6" s="96" t="str">
        <f>IF(ISBLANK('Control Entry'!I15),"",'Control Entry'!I15)</f>
        <v/>
      </c>
      <c r="G6" s="97"/>
      <c r="H6" s="26" t="s">
        <v>63</v>
      </c>
      <c r="K6" s="14"/>
      <c r="L6" s="130" t="str">
        <f>IF(ISBLANK(Brevet_Description),"",Brevet_Description)</f>
        <v>Cultus -Crescent-Cultus  Permanent</v>
      </c>
      <c r="M6" s="130"/>
      <c r="N6" s="130"/>
      <c r="O6" s="130"/>
      <c r="P6" s="130"/>
      <c r="Q6" s="130"/>
      <c r="R6" s="130"/>
      <c r="S6" s="130"/>
      <c r="T6" s="130"/>
      <c r="U6" s="130"/>
    </row>
    <row r="7" spans="1:22" ht="36" customHeight="1" x14ac:dyDescent="0.2">
      <c r="A7" s="36">
        <f>IF(ISBLANK(Distance Control_2),"",Control_2 Distance)</f>
        <v>33.299999999999997</v>
      </c>
      <c r="B7" s="37">
        <f>Control_2 Open_time</f>
        <v>4.0972222222222222E-2</v>
      </c>
      <c r="C7" s="37">
        <f>Control_2 Close_time</f>
        <v>0.1111111111111111</v>
      </c>
      <c r="D7" s="38" t="str">
        <f>IF(ISBLANK(Locale Control_2),"",Locale Control_2)</f>
        <v>Inter. of Sumas Hwy/2nd Ave.</v>
      </c>
      <c r="E7" s="50" t="str">
        <f>IF(ISBLANK(Control_2 Establishment_2),"",Control_2 Establishment_2)</f>
        <v>House address on NE corner?</v>
      </c>
      <c r="F7" s="98" t="str">
        <f>IF(ISBLANK('Control Entry'!J15),"",'Control Entry'!J15)</f>
        <v/>
      </c>
      <c r="G7" s="97"/>
      <c r="H7" s="26" t="s">
        <v>63</v>
      </c>
      <c r="J7" s="83"/>
      <c r="L7" s="83"/>
    </row>
    <row r="8" spans="1:22" ht="36" customHeight="1" thickBot="1" x14ac:dyDescent="0.25">
      <c r="A8" s="31"/>
      <c r="B8" s="32">
        <f>Control_2 Open_time</f>
        <v>4.0972222222222222E-2</v>
      </c>
      <c r="C8" s="32">
        <f>Control_2 Close_time</f>
        <v>0.1111111111111111</v>
      </c>
      <c r="D8" s="33"/>
      <c r="E8" s="82" t="str">
        <f>IF(ISBLANK(Control_2 Establishment_3),"",Control_2 Establishment_3)</f>
        <v/>
      </c>
      <c r="F8" s="99" t="str">
        <f>IF(ISBLANK('Control Entry'!K15),"",'Control Entry'!K15)</f>
        <v/>
      </c>
      <c r="G8" s="100"/>
      <c r="H8" s="26" t="s">
        <v>63</v>
      </c>
      <c r="J8" s="15" t="s">
        <v>71</v>
      </c>
      <c r="L8" s="120"/>
      <c r="M8" s="120"/>
      <c r="N8" s="120"/>
      <c r="O8" s="120"/>
      <c r="P8" s="120"/>
      <c r="Q8" s="120"/>
      <c r="S8" s="43" t="s">
        <v>72</v>
      </c>
      <c r="T8" s="131"/>
      <c r="U8" s="131"/>
    </row>
    <row r="9" spans="1:22" ht="36" customHeight="1" thickBot="1" x14ac:dyDescent="0.3">
      <c r="A9" s="27"/>
      <c r="B9" s="28">
        <f>Control_3 Open_time</f>
        <v>0.10555555555555556</v>
      </c>
      <c r="C9" s="28">
        <f>Control_3 Close_time</f>
        <v>0.2388888888888889</v>
      </c>
      <c r="D9" s="35"/>
      <c r="E9" s="30" t="str">
        <f>IF(ISBLANK(Control_3 Establishment_1),"",Control_3 Establishment_1)</f>
        <v/>
      </c>
      <c r="F9" s="96" t="str">
        <f>IF(ISBLANK('Control Entry'!I16),"",'Control Entry'!I16)</f>
        <v/>
      </c>
      <c r="G9" s="97"/>
      <c r="H9" s="26" t="s">
        <v>63</v>
      </c>
      <c r="J9" s="15" t="s">
        <v>73</v>
      </c>
      <c r="K9" s="15"/>
      <c r="L9" s="114" t="s">
        <v>74</v>
      </c>
      <c r="M9" s="114"/>
      <c r="N9" s="114"/>
      <c r="O9" s="114"/>
      <c r="P9" s="114"/>
      <c r="Q9" s="114"/>
      <c r="R9" s="114"/>
      <c r="S9" s="114"/>
      <c r="T9" s="114"/>
      <c r="U9" s="114"/>
    </row>
    <row r="10" spans="1:22" ht="36" customHeight="1" thickBot="1" x14ac:dyDescent="0.3">
      <c r="A10" s="36">
        <f>IF(ISBLANK(Distance Control_3),"",Control_3 Distance)</f>
        <v>86.1</v>
      </c>
      <c r="B10" s="37">
        <f>Control_3 Open_time</f>
        <v>0.10555555555555556</v>
      </c>
      <c r="C10" s="37">
        <f>Control_3 Close_time</f>
        <v>0.2388888888888889</v>
      </c>
      <c r="D10" s="38" t="str">
        <f>IF(ISBLANK(Locale Control_3),"",Locale Control_3)</f>
        <v>Inter. of 128St/Crescent Rd</v>
      </c>
      <c r="E10" s="50" t="str">
        <f>IF(ISBLANK(Control_3 Establishment_2),"",Control_3 Establishment_2)</f>
        <v>Brand of Gas Station on corner?</v>
      </c>
      <c r="F10" s="98" t="str">
        <f>IF(ISBLANK('Control Entry'!J16),"",'Control Entry'!J16)</f>
        <v/>
      </c>
      <c r="G10" s="97"/>
      <c r="H10" s="26" t="s">
        <v>63</v>
      </c>
      <c r="J10" s="15"/>
      <c r="K10" s="15"/>
      <c r="L10" s="115"/>
      <c r="M10" s="115"/>
      <c r="N10" s="115"/>
      <c r="O10" s="115"/>
      <c r="P10" s="115"/>
      <c r="Q10" s="115"/>
      <c r="R10" s="115"/>
      <c r="S10" s="115"/>
      <c r="T10" s="115"/>
      <c r="U10" s="115"/>
    </row>
    <row r="11" spans="1:22" ht="36" customHeight="1" thickBot="1" x14ac:dyDescent="0.3">
      <c r="A11" s="31"/>
      <c r="B11" s="32">
        <f>Control_3 Open_time</f>
        <v>0.10555555555555556</v>
      </c>
      <c r="C11" s="32">
        <f>Control_3 Close_time</f>
        <v>0.2388888888888889</v>
      </c>
      <c r="D11" s="33"/>
      <c r="E11" s="34" t="str">
        <f>IF(ISBLANK(Control_3 Establishment_3),"",Control_3 Establishment_3)</f>
        <v/>
      </c>
      <c r="F11" s="99" t="str">
        <f>IF(ISBLANK('Control Entry'!K16),"",'Control Entry'!K16)</f>
        <v/>
      </c>
      <c r="G11" s="100"/>
      <c r="H11" s="26" t="s">
        <v>63</v>
      </c>
      <c r="J11" s="15" t="s">
        <v>75</v>
      </c>
      <c r="K11" s="15"/>
      <c r="L11" s="115"/>
      <c r="M11" s="115"/>
      <c r="N11" s="115"/>
      <c r="O11" s="15"/>
      <c r="P11" s="15" t="s">
        <v>76</v>
      </c>
      <c r="Q11" s="15"/>
      <c r="R11" s="15"/>
      <c r="S11" s="139"/>
      <c r="T11" s="139"/>
      <c r="U11" s="139"/>
    </row>
    <row r="12" spans="1:22" ht="36" customHeight="1" thickBot="1" x14ac:dyDescent="0.3">
      <c r="A12" s="27"/>
      <c r="B12" s="28">
        <f>Control_4 Open_time</f>
        <v>0.14861111111111111</v>
      </c>
      <c r="C12" s="28">
        <f>Control_4 Close_time</f>
        <v>0.33611111111111108</v>
      </c>
      <c r="D12" s="35"/>
      <c r="E12" s="30" t="str">
        <f>IF(ISBLANK(Control_4 Establishment_1),"",Control_4 Establishment_1)</f>
        <v/>
      </c>
      <c r="F12" s="96" t="str">
        <f>IF(ISBLANK('Control Entry'!I17),"",'Control Entry'!I17)</f>
        <v/>
      </c>
      <c r="G12" s="97"/>
      <c r="H12" s="26" t="s">
        <v>63</v>
      </c>
      <c r="J12" s="15" t="s">
        <v>77</v>
      </c>
      <c r="K12" s="15"/>
      <c r="L12" s="115"/>
      <c r="M12" s="115"/>
      <c r="N12" s="115"/>
      <c r="O12" s="15"/>
      <c r="P12" s="15" t="s">
        <v>78</v>
      </c>
      <c r="Q12" s="15"/>
      <c r="R12" s="15"/>
      <c r="S12" s="139"/>
      <c r="T12" s="139"/>
      <c r="U12" s="139"/>
    </row>
    <row r="13" spans="1:22" ht="36" customHeight="1" thickBot="1" x14ac:dyDescent="0.3">
      <c r="A13" s="36">
        <f>IF(ISBLANK(Distance Control_4),"",Control_4 Distance)</f>
        <v>121.1</v>
      </c>
      <c r="B13" s="37">
        <f>Control_4 Open_time</f>
        <v>0.14861111111111111</v>
      </c>
      <c r="C13" s="37">
        <f>Control_4 Close_time</f>
        <v>0.33611111111111108</v>
      </c>
      <c r="D13" s="38" t="str">
        <f>IF(ISBLANK(Locale Control_4),"",Locale Control_4)</f>
        <v>Derby Reach Histrict House</v>
      </c>
      <c r="E13" s="30" t="str">
        <f>IF(ISBLANK(Control_4 Establishment_2),"",Control_4 Establishment_2)</f>
        <v>First word, bottom line on entrance sign is</v>
      </c>
      <c r="F13" s="96" t="str">
        <f>IF(ISBLANK('Control Entry'!J17),"",'Control Entry'!J17)</f>
        <v>_____________AREA</v>
      </c>
      <c r="G13" s="97"/>
      <c r="H13" s="26" t="s">
        <v>63</v>
      </c>
      <c r="J13" s="15" t="s">
        <v>79</v>
      </c>
      <c r="L13" s="138"/>
      <c r="M13" s="138"/>
      <c r="N13" s="138"/>
      <c r="P13" s="15" t="s">
        <v>80</v>
      </c>
      <c r="Q13" s="15"/>
      <c r="R13" s="140"/>
      <c r="S13" s="140"/>
      <c r="T13" s="140"/>
      <c r="U13" s="140"/>
    </row>
    <row r="14" spans="1:22" ht="36" customHeight="1" thickBot="1" x14ac:dyDescent="0.25">
      <c r="A14" s="31"/>
      <c r="B14" s="32">
        <f>Control_4 Open_time</f>
        <v>0.14861111111111111</v>
      </c>
      <c r="C14" s="32">
        <f>Control_4 Close_time</f>
        <v>0.33611111111111108</v>
      </c>
      <c r="D14" s="33"/>
      <c r="E14" s="34" t="str">
        <f>IF(ISBLANK(Control_4 Establishment_3),"",Control_4 Establishment_3)</f>
        <v/>
      </c>
      <c r="F14" s="99" t="str">
        <f>IF(ISBLANK('Control Entry'!K17),"",'Control Entry'!K17)</f>
        <v/>
      </c>
      <c r="G14" s="100"/>
      <c r="H14" s="26" t="s">
        <v>63</v>
      </c>
    </row>
    <row r="15" spans="1:22" ht="36" customHeight="1" x14ac:dyDescent="0.2">
      <c r="A15" s="27"/>
      <c r="B15" s="28">
        <f>Control_5 Open_time</f>
        <v>0.19652777777777777</v>
      </c>
      <c r="C15" s="28">
        <f>Control_5 Close_time</f>
        <v>0.44444444444444442</v>
      </c>
      <c r="D15" s="35"/>
      <c r="E15" s="30" t="str">
        <f>IF(ISBLANK(Control_5 Establishment_1),"",Control_5 Establishment_1)</f>
        <v/>
      </c>
      <c r="F15" s="96" t="str">
        <f>IF(ISBLANK('Control Entry'!I18),"",'Control Entry'!I18)</f>
        <v/>
      </c>
      <c r="G15" s="97"/>
      <c r="H15" s="26" t="s">
        <v>63</v>
      </c>
      <c r="J15" s="15"/>
      <c r="L15" s="129" t="s">
        <v>81</v>
      </c>
      <c r="M15" s="129"/>
      <c r="N15" s="129"/>
      <c r="O15" s="129"/>
      <c r="P15" s="129"/>
      <c r="Q15" s="129"/>
      <c r="R15" s="129"/>
      <c r="S15" s="129"/>
      <c r="T15" s="129"/>
      <c r="U15" s="129"/>
    </row>
    <row r="16" spans="1:22" ht="36" customHeight="1" thickBot="1" x14ac:dyDescent="0.25">
      <c r="A16" s="36">
        <f>IF(ISBLANK(Distance Control_5),"",Control_5 Distance)</f>
        <v>160.1</v>
      </c>
      <c r="B16" s="37">
        <f>Control_5 Open_time</f>
        <v>0.19652777777777777</v>
      </c>
      <c r="C16" s="37">
        <f>Control_5 Close_time</f>
        <v>0.44444444444444442</v>
      </c>
      <c r="D16" s="38" t="str">
        <f>IF(ISBLANK(Locale Control_5),"",Locale Control_5)</f>
        <v>Inter of Harris &amp; Riverside Rds</v>
      </c>
      <c r="E16" s="30" t="str">
        <f>IF(ISBLANK(Control_5 Establishment_2),"",Control_5 Establishment_2)</f>
        <v>Brand of Gas Station on corner?</v>
      </c>
      <c r="F16" s="96" t="str">
        <f>IF(ISBLANK('Control Entry'!J18),"",'Control Entry'!J18)</f>
        <v/>
      </c>
      <c r="G16" s="97"/>
      <c r="H16" s="26" t="s">
        <v>63</v>
      </c>
      <c r="L16" s="116"/>
      <c r="M16" s="116"/>
      <c r="N16" s="116"/>
      <c r="O16" s="116"/>
      <c r="P16" s="116"/>
      <c r="Q16" s="116"/>
      <c r="R16" s="116"/>
      <c r="S16" s="116"/>
      <c r="T16" s="116"/>
      <c r="U16" s="116"/>
    </row>
    <row r="17" spans="1:22" ht="36" customHeight="1" thickBot="1" x14ac:dyDescent="0.25">
      <c r="A17" s="31"/>
      <c r="B17" s="32">
        <f>Control_5 Open_time</f>
        <v>0.19652777777777777</v>
      </c>
      <c r="C17" s="32">
        <f>Control_5 Close_time</f>
        <v>0.44444444444444442</v>
      </c>
      <c r="D17" s="33"/>
      <c r="E17" s="34" t="str">
        <f>IF(ISBLANK(Control_5 Establishment_3),"",Control_5 Establishment_3)</f>
        <v/>
      </c>
      <c r="F17" s="101" t="str">
        <f>IF(ISBLANK('Control Entry'!K18),"",'Control Entry'!K18)</f>
        <v/>
      </c>
      <c r="G17" s="100"/>
      <c r="H17" s="26" t="s">
        <v>63</v>
      </c>
    </row>
    <row r="18" spans="1:22" ht="36" customHeight="1" x14ac:dyDescent="0.2">
      <c r="A18" s="27"/>
      <c r="B18" s="28">
        <f>Control_6 Open_time</f>
        <v>0.24583333333333335</v>
      </c>
      <c r="C18" s="28">
        <f>Control_6 Close_time</f>
        <v>0.5625</v>
      </c>
      <c r="D18" s="35"/>
      <c r="E18" s="30" t="str">
        <f>IF(ISBLANK(Control_6 Establishment_1),"",Control_6 Establishment_1)</f>
        <v/>
      </c>
      <c r="F18" s="96" t="str">
        <f>IF(ISBLANK('Control Entry'!I19),"",'Control Entry'!I19)</f>
        <v/>
      </c>
      <c r="G18" s="97"/>
      <c r="H18" s="26" t="s">
        <v>63</v>
      </c>
    </row>
    <row r="19" spans="1:22" ht="36" customHeight="1" x14ac:dyDescent="0.2">
      <c r="A19" s="36">
        <f>IF(ISBLANK(Distance Control_6),"",Control_6 Distance)</f>
        <v>200.6</v>
      </c>
      <c r="B19" s="37">
        <f>Control_6 Open_time</f>
        <v>0.24583333333333335</v>
      </c>
      <c r="C19" s="37">
        <f>Control_6 Close_time</f>
        <v>0.5625</v>
      </c>
      <c r="D19" s="38" t="str">
        <f>IF(ISBLANK(Locale Control_6),"",Locale Control_6)</f>
        <v xml:space="preserve">Cultus Lake Rd/Sunnyside Rd </v>
      </c>
      <c r="E19" s="30" t="str">
        <f>IF(ISBLANK(Control_6 Establishment_2),"",Control_6 Establishment_2)</f>
        <v xml:space="preserve">Esso Station </v>
      </c>
      <c r="F19" s="96" t="str">
        <f>IF(ISBLANK('Control Entry'!J19),"",'Control Entry'!J19)</f>
        <v/>
      </c>
      <c r="G19" s="97"/>
      <c r="H19" s="26" t="s">
        <v>63</v>
      </c>
    </row>
    <row r="20" spans="1:22" ht="36" customHeight="1" thickBot="1" x14ac:dyDescent="0.25">
      <c r="A20" s="31"/>
      <c r="B20" s="32">
        <f>Control_6 Open_time</f>
        <v>0.24583333333333335</v>
      </c>
      <c r="C20" s="32">
        <f>Control_6 Close_time</f>
        <v>0.5625</v>
      </c>
      <c r="D20" s="33"/>
      <c r="E20" s="34" t="str">
        <f>IF(ISBLANK(Control_6 Establishment_3),"",Control_6 Establishment_3)</f>
        <v/>
      </c>
      <c r="F20" s="101" t="str">
        <f>IF(ISBLANK('Control Entry'!K19),"",'Control Entry'!K19)</f>
        <v/>
      </c>
      <c r="G20" s="100"/>
      <c r="H20" s="26" t="s">
        <v>63</v>
      </c>
      <c r="J20" s="53" t="s">
        <v>82</v>
      </c>
      <c r="K20" s="53"/>
      <c r="L20" s="137" t="str">
        <f>IF(ISBLANK('Control Entry'!B11),"",'Control Entry'!B11)</f>
        <v/>
      </c>
      <c r="M20" s="137"/>
      <c r="N20" s="137"/>
      <c r="P20" s="15" t="s">
        <v>83</v>
      </c>
      <c r="Q20" s="15"/>
      <c r="S20" s="128" t="str">
        <f>IF(ISBLANK('Control Entry'!B12),"",'Control Entry'!B12)</f>
        <v/>
      </c>
      <c r="T20" s="128"/>
      <c r="U20" s="128"/>
    </row>
    <row r="21" spans="1:22" ht="36" customHeight="1" x14ac:dyDescent="0.2">
      <c r="A21" s="27"/>
      <c r="B21" s="28" t="str">
        <f>Control_7 Open_time</f>
        <v/>
      </c>
      <c r="C21" s="28" t="str">
        <f>Control_7 Close_time</f>
        <v/>
      </c>
      <c r="D21" s="35"/>
      <c r="E21" s="30" t="str">
        <f>IF(ISBLANK(Control_7 Establishment_1),"",Control_7 Establishment_1)</f>
        <v/>
      </c>
      <c r="F21" s="96" t="str">
        <f>IF(ISBLANK('Control Entry'!I20),"",'Control Entry'!I20)</f>
        <v/>
      </c>
      <c r="G21" s="97"/>
      <c r="H21" s="26" t="s">
        <v>63</v>
      </c>
      <c r="J21" s="53"/>
      <c r="K21" s="53"/>
      <c r="L21" s="52"/>
      <c r="M21" s="52"/>
      <c r="N21" s="52"/>
      <c r="P21" s="15"/>
      <c r="Q21" s="15"/>
      <c r="S21" s="54"/>
      <c r="T21" s="54"/>
      <c r="U21" s="54"/>
    </row>
    <row r="22" spans="1:22" ht="36" customHeight="1" thickBot="1" x14ac:dyDescent="0.25">
      <c r="A22" s="36" t="str">
        <f>IF(ISBLANK(Distance Control_7),"",Control_7 Distance)</f>
        <v/>
      </c>
      <c r="B22" s="37" t="str">
        <f>Control_7 Open_time</f>
        <v/>
      </c>
      <c r="C22" s="37" t="str">
        <f>Control_7 Close_time</f>
        <v/>
      </c>
      <c r="D22" s="38" t="str">
        <f>IF(ISBLANK(Locale Control_7),"",Locale Control_7)</f>
        <v/>
      </c>
      <c r="E22" s="30" t="str">
        <f>IF(ISBLANK(Control_7 Establishment_2),"",Control_7 Establishment_2)</f>
        <v/>
      </c>
      <c r="F22" s="96" t="str">
        <f>IF(ISBLANK('Control Entry'!J20),"",'Control Entry'!J20)</f>
        <v/>
      </c>
      <c r="G22" s="97"/>
      <c r="H22" s="26" t="s">
        <v>63</v>
      </c>
      <c r="J22" s="53" t="s">
        <v>84</v>
      </c>
      <c r="K22" s="53"/>
      <c r="L22" s="117"/>
      <c r="M22" s="117"/>
      <c r="N22" s="117"/>
      <c r="P22" s="15" t="s">
        <v>85</v>
      </c>
      <c r="Q22" s="15"/>
      <c r="S22" s="113"/>
      <c r="T22" s="113"/>
      <c r="U22" s="113"/>
    </row>
    <row r="23" spans="1:22" ht="36" customHeight="1" thickBot="1" x14ac:dyDescent="0.25">
      <c r="A23" s="31"/>
      <c r="B23" s="32" t="str">
        <f>Control_7 Open_time</f>
        <v/>
      </c>
      <c r="C23" s="32" t="str">
        <f>Control_7 Close_time</f>
        <v/>
      </c>
      <c r="D23" s="33"/>
      <c r="E23" s="34" t="str">
        <f>IF(ISBLANK(Control_7 Establishment_3),"",Control_7 Establishment_3)</f>
        <v/>
      </c>
      <c r="F23" s="101" t="str">
        <f>IF(ISBLANK('Control Entry'!K20),"",'Control Entry'!K20)</f>
        <v/>
      </c>
      <c r="G23" s="100"/>
      <c r="H23" s="26" t="s">
        <v>63</v>
      </c>
      <c r="J23" s="53"/>
      <c r="K23" s="53"/>
      <c r="L23" s="52"/>
      <c r="M23" s="52"/>
      <c r="N23" s="52"/>
      <c r="P23" s="15"/>
      <c r="Q23" s="15"/>
    </row>
    <row r="24" spans="1:22" ht="36" customHeight="1" thickBot="1" x14ac:dyDescent="0.25">
      <c r="A24" s="27"/>
      <c r="B24" s="28" t="str">
        <f>Control_8 Open_time</f>
        <v/>
      </c>
      <c r="C24" s="28" t="str">
        <f>Control_8 Close_time</f>
        <v/>
      </c>
      <c r="D24" s="35"/>
      <c r="E24" s="30" t="str">
        <f>IF(ISBLANK(Control_8 Establishment_1),"",Control_8 Establishment_1)</f>
        <v/>
      </c>
      <c r="F24" s="96" t="str">
        <f>IF(ISBLANK('Control Entry'!I21),"",'Control Entry'!I21)</f>
        <v/>
      </c>
      <c r="G24" s="97"/>
      <c r="H24" s="26" t="s">
        <v>63</v>
      </c>
      <c r="J24" s="113"/>
      <c r="K24" s="113"/>
      <c r="L24" s="113"/>
      <c r="M24" s="113"/>
      <c r="N24" s="113"/>
      <c r="P24" s="15" t="s">
        <v>86</v>
      </c>
      <c r="Q24" s="15"/>
      <c r="S24" s="113"/>
      <c r="T24" s="113"/>
      <c r="U24" s="113"/>
    </row>
    <row r="25" spans="1:22" ht="36" customHeight="1" x14ac:dyDescent="0.2">
      <c r="A25" s="36" t="str">
        <f>IF(ISBLANK(Distance Control_8),"",Control_8 Distance)</f>
        <v/>
      </c>
      <c r="B25" s="37" t="str">
        <f>Control_8 Open_time</f>
        <v/>
      </c>
      <c r="C25" s="37" t="str">
        <f>Control_8 Close_time</f>
        <v/>
      </c>
      <c r="D25" s="38" t="str">
        <f>IF(ISBLANK(Locale Control_8),"",Locale Control_8)</f>
        <v/>
      </c>
      <c r="E25" s="50" t="str">
        <f>IF(ISBLANK(Control_8 Establishment_2),"",Control_8 Establishment_2)</f>
        <v/>
      </c>
      <c r="F25" s="96" t="str">
        <f>IF(ISBLANK('Control Entry'!J21),"",'Control Entry'!J21)</f>
        <v/>
      </c>
      <c r="G25" s="97"/>
      <c r="H25" s="26" t="s">
        <v>63</v>
      </c>
      <c r="J25" s="126" t="s">
        <v>87</v>
      </c>
      <c r="K25" s="126"/>
      <c r="L25" s="126"/>
      <c r="M25" s="126"/>
      <c r="N25" s="126"/>
      <c r="O25" s="47"/>
      <c r="P25" s="124"/>
      <c r="Q25" s="124"/>
      <c r="R25" s="47"/>
      <c r="S25" s="125"/>
      <c r="T25" s="125"/>
      <c r="U25" s="125"/>
      <c r="V25" s="125"/>
    </row>
    <row r="26" spans="1:22" ht="36" customHeight="1" thickBot="1" x14ac:dyDescent="0.25">
      <c r="A26" s="31"/>
      <c r="B26" s="32" t="str">
        <f>Control_8 Open_time</f>
        <v/>
      </c>
      <c r="C26" s="32" t="str">
        <f>Control_8 Close_time</f>
        <v/>
      </c>
      <c r="D26" s="33"/>
      <c r="E26" s="34" t="str">
        <f>IF(ISBLANK(Control_8 Establishment_3),"",Control_8 Establishment_3)</f>
        <v/>
      </c>
      <c r="F26" s="101" t="str">
        <f>IF(ISBLANK('Control Entry'!K21),"",'Control Entry'!K21)</f>
        <v/>
      </c>
      <c r="G26" s="100"/>
      <c r="H26" s="26" t="s">
        <v>63</v>
      </c>
    </row>
    <row r="27" spans="1:22" ht="36" customHeight="1" x14ac:dyDescent="0.2">
      <c r="A27" s="27"/>
      <c r="B27" s="28" t="str">
        <f>Control_9 Open_time</f>
        <v/>
      </c>
      <c r="C27" s="28" t="str">
        <f>Control_9 Close_time</f>
        <v/>
      </c>
      <c r="D27" s="35"/>
      <c r="E27" s="30" t="str">
        <f>IF(ISBLANK(Control_9 Establishment_1),"",Control_9 Establishment_1)</f>
        <v/>
      </c>
      <c r="F27" s="96" t="str">
        <f>IF(ISBLANK('Control Entry'!I22),"",'Control Entry'!I22)</f>
        <v/>
      </c>
      <c r="G27" s="97"/>
      <c r="H27" s="26" t="s">
        <v>63</v>
      </c>
      <c r="K27" s="123" t="s">
        <v>88</v>
      </c>
      <c r="L27" s="124"/>
      <c r="M27" s="46" t="s">
        <v>89</v>
      </c>
      <c r="N27" s="124" t="s">
        <v>90</v>
      </c>
      <c r="O27" s="124"/>
      <c r="P27" s="124" t="s">
        <v>91</v>
      </c>
      <c r="Q27" s="124"/>
      <c r="R27" s="47" t="s">
        <v>92</v>
      </c>
      <c r="S27" s="125" t="s">
        <v>93</v>
      </c>
      <c r="T27" s="125"/>
      <c r="U27" s="125" t="s">
        <v>94</v>
      </c>
      <c r="V27" s="125"/>
    </row>
    <row r="28" spans="1:22" ht="36" customHeight="1" x14ac:dyDescent="0.2">
      <c r="A28" s="36" t="str">
        <f>IF(ISBLANK(Distance Control_9),"",Control_9 Distance)</f>
        <v/>
      </c>
      <c r="B28" s="37" t="str">
        <f>Control_9 Open_time</f>
        <v/>
      </c>
      <c r="C28" s="37" t="str">
        <f>Control_9 Close_time</f>
        <v/>
      </c>
      <c r="D28" s="38" t="str">
        <f>IF(ISBLANK(Locale Control_9),"",Locale Control_9)</f>
        <v/>
      </c>
      <c r="E28" s="30" t="str">
        <f>IF(ISBLANK(Control_9 Establishment_2),"",Control_9 Establishment_2)</f>
        <v/>
      </c>
      <c r="F28" s="96" t="str">
        <f>IF(ISBLANK('Control Entry'!J22),"",'Control Entry'!J22)</f>
        <v/>
      </c>
      <c r="G28" s="97"/>
      <c r="H28" s="26" t="s">
        <v>63</v>
      </c>
    </row>
    <row r="29" spans="1:22" ht="36" customHeight="1" thickBot="1" x14ac:dyDescent="0.25">
      <c r="A29" s="31"/>
      <c r="B29" s="32" t="str">
        <f>Control_9 Open_time</f>
        <v/>
      </c>
      <c r="C29" s="32" t="str">
        <f>Control_9 Close_time</f>
        <v/>
      </c>
      <c r="D29" s="33"/>
      <c r="E29" s="34" t="str">
        <f>IF(ISBLANK(Control_9 Establishment_3),"",Control_9 Establishment_3)</f>
        <v/>
      </c>
      <c r="F29" s="101" t="str">
        <f>IF(ISBLANK('Control Entry'!K22),"",'Control Entry'!K22)</f>
        <v/>
      </c>
      <c r="G29" s="100"/>
      <c r="H29" s="26" t="s">
        <v>63</v>
      </c>
      <c r="M29" s="132" t="s">
        <v>95</v>
      </c>
      <c r="N29" s="132"/>
      <c r="O29" s="132"/>
      <c r="P29" s="132"/>
      <c r="Q29" s="132"/>
      <c r="R29" s="132"/>
      <c r="S29" s="132"/>
      <c r="T29" s="132"/>
      <c r="U29" s="51"/>
    </row>
    <row r="30" spans="1:22" ht="36" customHeight="1" x14ac:dyDescent="0.2">
      <c r="A30" s="27"/>
      <c r="B30" s="28" t="str">
        <f>Control_10 Open_time</f>
        <v/>
      </c>
      <c r="C30" s="28" t="str">
        <f>Control_10 Close_time</f>
        <v/>
      </c>
      <c r="D30" s="35"/>
      <c r="E30" s="30" t="str">
        <f>IF(ISBLANK(Control_10 Establishment_1),"",Control_10 Establishment_1)</f>
        <v/>
      </c>
      <c r="F30" s="96" t="str">
        <f>IF(ISBLANK('Control Entry'!I23),"",'Control Entry'!I23)</f>
        <v/>
      </c>
      <c r="G30" s="97"/>
      <c r="H30" s="26" t="s">
        <v>63</v>
      </c>
      <c r="M30" s="16"/>
      <c r="N30" s="19"/>
      <c r="O30" s="19"/>
      <c r="P30" s="20"/>
      <c r="Q30" s="19"/>
      <c r="R30" s="19"/>
      <c r="S30" s="19"/>
      <c r="T30" s="20"/>
    </row>
    <row r="31" spans="1:22" ht="36" customHeight="1" x14ac:dyDescent="0.2">
      <c r="A31" s="36" t="str">
        <f>IF(ISBLANK(Distance Control_10),"",Control_10 Distance)</f>
        <v/>
      </c>
      <c r="B31" s="37" t="str">
        <f>Control_10 Open_time</f>
        <v/>
      </c>
      <c r="C31" s="37" t="str">
        <f>Control_10 Close_time</f>
        <v/>
      </c>
      <c r="D31" s="38" t="str">
        <f>IF(ISBLANK(Locale Control_10),"",Locale Control_10)</f>
        <v/>
      </c>
      <c r="E31" s="30" t="str">
        <f>IF(ISBLANK(Control_10 Establishment_2),"",Control_10 Establishment_2)</f>
        <v/>
      </c>
      <c r="F31" s="96" t="str">
        <f>IF(ISBLANK('Control Entry'!J23),"",'Control Entry'!J23)</f>
        <v/>
      </c>
      <c r="G31" s="97"/>
      <c r="H31" s="26" t="s">
        <v>63</v>
      </c>
      <c r="M31" s="17"/>
      <c r="P31" s="21"/>
      <c r="T31" s="21"/>
    </row>
    <row r="32" spans="1:22" ht="36" customHeight="1" thickBot="1" x14ac:dyDescent="0.25">
      <c r="A32" s="31"/>
      <c r="B32" s="32" t="str">
        <f>Control_10 Open_time</f>
        <v/>
      </c>
      <c r="C32" s="32" t="str">
        <f>Control_10 Close_time</f>
        <v/>
      </c>
      <c r="D32" s="33"/>
      <c r="E32" s="34" t="str">
        <f>IF(ISBLANK(Control_10 Establishment_3),"",Control_10 Establishment_3)</f>
        <v/>
      </c>
      <c r="F32" s="101" t="str">
        <f>IF(ISBLANK('Control Entry'!K23),"",'Control Entry'!K23)</f>
        <v/>
      </c>
      <c r="G32" s="100"/>
      <c r="H32" s="26" t="s">
        <v>63</v>
      </c>
      <c r="M32" s="49"/>
      <c r="N32" s="18"/>
      <c r="O32" s="18"/>
      <c r="P32" s="22"/>
      <c r="Q32" s="18"/>
      <c r="R32" s="18"/>
      <c r="S32" s="18"/>
      <c r="T32" s="22"/>
    </row>
    <row r="33" spans="1:22" ht="36" customHeight="1" x14ac:dyDescent="0.2">
      <c r="A33" s="122" t="s">
        <v>96</v>
      </c>
      <c r="B33" s="122"/>
      <c r="C33" s="122"/>
      <c r="D33" s="122"/>
      <c r="E33" s="122"/>
      <c r="F33" s="122"/>
      <c r="G33" s="122"/>
      <c r="H33" s="39"/>
      <c r="I33" s="39"/>
      <c r="M33" s="133" t="s">
        <v>3</v>
      </c>
      <c r="N33" s="134"/>
      <c r="O33" s="134"/>
      <c r="P33" s="134"/>
      <c r="Q33" s="135">
        <f>'Control Entry'!B3</f>
        <v>44674</v>
      </c>
      <c r="R33" s="136"/>
      <c r="S33" s="136"/>
      <c r="T33" s="136"/>
      <c r="V33" s="52"/>
    </row>
    <row r="34" spans="1:22" ht="36" customHeight="1" x14ac:dyDescent="0.2">
      <c r="A34"/>
      <c r="O34" s="15"/>
      <c r="P34" s="15"/>
      <c r="Q34" s="15"/>
      <c r="R34" s="44"/>
    </row>
    <row r="35" spans="1:22" ht="36" customHeight="1" x14ac:dyDescent="0.2">
      <c r="A35"/>
      <c r="N35" s="132"/>
      <c r="O35" s="132"/>
      <c r="P35" s="132"/>
      <c r="Q35" s="132"/>
      <c r="R35" s="132"/>
      <c r="S35" s="132"/>
      <c r="T35" s="132"/>
      <c r="U35" s="132"/>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cyiPUn9gvNvxckgXWRPfVDWzPxCMEp2UDRSFFIYX0OV0fvNOZdDVJLjSMuldy6NulBwidOTuy5Kiv09QpdcNYA==" saltValue="30UNioQkOknK/Ui2DTsNHg==" spinCount="100000" sheet="1" objects="1" scenarios="1" formatCells="0" selectLockedCells="1"/>
  <mergeCells count="39">
    <mergeCell ref="T8:U8"/>
    <mergeCell ref="N35:U35"/>
    <mergeCell ref="M29:T29"/>
    <mergeCell ref="N27:O27"/>
    <mergeCell ref="P27:Q27"/>
    <mergeCell ref="S27:T27"/>
    <mergeCell ref="U27:V27"/>
    <mergeCell ref="M33:P33"/>
    <mergeCell ref="Q33:T33"/>
    <mergeCell ref="L20:N20"/>
    <mergeCell ref="L11:N11"/>
    <mergeCell ref="L12:N12"/>
    <mergeCell ref="L13:N13"/>
    <mergeCell ref="S11:U11"/>
    <mergeCell ref="S12:U12"/>
    <mergeCell ref="R13:U13"/>
    <mergeCell ref="R5:U5"/>
    <mergeCell ref="K2:U2"/>
    <mergeCell ref="L8:Q8"/>
    <mergeCell ref="A1:G1"/>
    <mergeCell ref="A33:G33"/>
    <mergeCell ref="M4:T4"/>
    <mergeCell ref="P25:Q25"/>
    <mergeCell ref="S25:T25"/>
    <mergeCell ref="U25:V25"/>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zoomScale="92" zoomScaleNormal="92"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21" t="s">
        <v>97</v>
      </c>
      <c r="B1" s="121"/>
      <c r="C1" s="121"/>
      <c r="D1" s="121"/>
      <c r="E1" s="121"/>
      <c r="F1" s="121"/>
      <c r="G1" s="121"/>
      <c r="H1" s="26" t="s">
        <v>63</v>
      </c>
    </row>
    <row r="2" spans="1:22" ht="33.75" customHeight="1" thickBot="1" x14ac:dyDescent="0.25">
      <c r="A2" s="68" t="s">
        <v>64</v>
      </c>
      <c r="B2" s="9" t="s">
        <v>30</v>
      </c>
      <c r="C2" s="9" t="s">
        <v>31</v>
      </c>
      <c r="D2" s="9" t="s">
        <v>23</v>
      </c>
      <c r="E2" s="9" t="s">
        <v>65</v>
      </c>
      <c r="F2" s="9" t="s">
        <v>66</v>
      </c>
      <c r="G2" s="68" t="s">
        <v>67</v>
      </c>
      <c r="H2" s="26" t="s">
        <v>63</v>
      </c>
      <c r="K2" s="119" t="s">
        <v>68</v>
      </c>
      <c r="L2" s="119"/>
      <c r="M2" s="119"/>
      <c r="N2" s="119"/>
      <c r="O2" s="119"/>
      <c r="P2" s="119"/>
      <c r="Q2" s="119"/>
      <c r="R2" s="119"/>
      <c r="S2" s="119"/>
      <c r="T2" s="119"/>
      <c r="U2" s="119"/>
    </row>
    <row r="3" spans="1:22" ht="36" customHeight="1" x14ac:dyDescent="0.45">
      <c r="A3" s="27"/>
      <c r="B3" s="28" t="str">
        <f>'Control Entry'!N27</f>
        <v/>
      </c>
      <c r="C3" s="28" t="str">
        <f>'Control Entry'!O27</f>
        <v/>
      </c>
      <c r="D3" s="29"/>
      <c r="E3" s="30" t="str">
        <f>IF(ISBLANK('Control Entry'!F27),"",'Control Entry'!F27)</f>
        <v/>
      </c>
      <c r="F3" s="96" t="str">
        <f>IF(ISBLANK('Control Entry'!I27),"",'Control Entry'!I27)</f>
        <v/>
      </c>
      <c r="G3" s="97"/>
      <c r="H3" s="26" t="s">
        <v>63</v>
      </c>
      <c r="K3" s="14"/>
      <c r="O3" s="127" t="s">
        <v>98</v>
      </c>
      <c r="P3" s="127"/>
      <c r="Q3" s="127"/>
      <c r="R3" s="127"/>
      <c r="S3" s="84" t="str">
        <f>IF('Control Entry'!D27=0,"","#2")</f>
        <v/>
      </c>
      <c r="U3" s="40"/>
    </row>
    <row r="4" spans="1:22" ht="36" customHeight="1" x14ac:dyDescent="0.2">
      <c r="A4" s="36" t="str">
        <f>IF(ISBLANK('Control Entry'!D27),"",'Control Entry'!D27)</f>
        <v/>
      </c>
      <c r="B4" s="37" t="str">
        <f>'Control Entry'!N27</f>
        <v/>
      </c>
      <c r="C4" s="37" t="str">
        <f>'Control Entry'!O27</f>
        <v/>
      </c>
      <c r="D4" s="38" t="str">
        <f>IF(ISBLANK('Control Entry'!E27),"",'Control Entry'!E27)</f>
        <v/>
      </c>
      <c r="E4" s="30" t="str">
        <f>IF(ISBLANK('Control Entry'!G27),"",'Control Entry'!G27)</f>
        <v/>
      </c>
      <c r="F4" s="96" t="str">
        <f>IF(ISBLANK('Control Entry'!J27),"",'Control Entry'!J27)</f>
        <v/>
      </c>
      <c r="G4" s="97"/>
      <c r="H4" s="26" t="s">
        <v>63</v>
      </c>
      <c r="K4" s="14"/>
      <c r="M4" s="123" t="str">
        <f>IF(ISBLANK(brevet),"",brevet&amp;" km Randonnée")</f>
        <v>200 km Randonnée</v>
      </c>
      <c r="N4" s="123"/>
      <c r="O4" s="123"/>
      <c r="P4" s="123"/>
      <c r="Q4" s="123"/>
      <c r="R4" s="123"/>
      <c r="S4" s="123"/>
      <c r="T4" s="123"/>
      <c r="U4" s="41"/>
    </row>
    <row r="5" spans="1:22" ht="36" customHeight="1" thickBot="1" x14ac:dyDescent="0.25">
      <c r="A5" s="31"/>
      <c r="B5" s="32" t="str">
        <f>'Control Entry'!N27</f>
        <v/>
      </c>
      <c r="C5" s="32" t="str">
        <f>'Control Entry'!O27</f>
        <v/>
      </c>
      <c r="D5" s="33"/>
      <c r="E5" s="34" t="str">
        <f>IF(ISBLANK('Control Entry'!H27),"",'Control Entry'!H27)</f>
        <v/>
      </c>
      <c r="F5" s="101" t="str">
        <f>IF(ISBLANK('Control Entry'!K27),"",'Control Entry'!K27)</f>
        <v/>
      </c>
      <c r="G5" s="100"/>
      <c r="H5" s="26" t="s">
        <v>63</v>
      </c>
      <c r="K5" s="14"/>
      <c r="M5" s="15"/>
      <c r="N5" s="125" t="s">
        <v>70</v>
      </c>
      <c r="O5" s="125"/>
      <c r="P5" s="55" t="str">
        <f>IF(ISBLANK(Brevet_Number),"",Brevet_Number)</f>
        <v/>
      </c>
      <c r="Q5" s="56"/>
      <c r="R5" s="118" t="str">
        <f>IF(ISBLANK('Control Entry'!$B9),"",'Control Entry'!$B9)</f>
        <v/>
      </c>
      <c r="S5" s="118"/>
      <c r="T5" s="118"/>
      <c r="U5" s="118"/>
      <c r="V5" s="42"/>
    </row>
    <row r="6" spans="1:22" ht="36" customHeight="1" x14ac:dyDescent="0.2">
      <c r="A6" s="27"/>
      <c r="B6" s="28" t="str">
        <f>'Control Entry'!N28</f>
        <v/>
      </c>
      <c r="C6" s="28" t="str">
        <f>'Control Entry'!O28</f>
        <v/>
      </c>
      <c r="D6" s="35"/>
      <c r="E6" s="30" t="str">
        <f>IF(ISBLANK('Control Entry'!F28),"",'Control Entry'!F28)</f>
        <v/>
      </c>
      <c r="F6" s="96" t="str">
        <f>IF(ISBLANK('Control Entry'!I28),"",'Control Entry'!I28)</f>
        <v/>
      </c>
      <c r="G6" s="97"/>
      <c r="H6" s="26" t="s">
        <v>63</v>
      </c>
      <c r="K6" s="14"/>
      <c r="L6" s="130" t="str">
        <f>IF(ISBLANK(Brevet_Description),"",Brevet_Description)</f>
        <v>Cultus -Crescent-Cultus  Permanent</v>
      </c>
      <c r="M6" s="130"/>
      <c r="N6" s="130"/>
      <c r="O6" s="130"/>
      <c r="P6" s="130"/>
      <c r="Q6" s="130"/>
      <c r="R6" s="130"/>
      <c r="S6" s="130"/>
      <c r="T6" s="130"/>
      <c r="U6" s="130"/>
    </row>
    <row r="7" spans="1:22" ht="36" customHeight="1" x14ac:dyDescent="0.2">
      <c r="A7" s="36" t="str">
        <f>IF(ISBLANK('Control Entry'!D28),"",'Control Entry'!D28)</f>
        <v/>
      </c>
      <c r="B7" s="37" t="str">
        <f>'Control Entry'!N28</f>
        <v/>
      </c>
      <c r="C7" s="37" t="str">
        <f>'Control Entry'!O28</f>
        <v/>
      </c>
      <c r="D7" s="38" t="str">
        <f>IF(ISBLANK('Control Entry'!E28),"",'Control Entry'!E28)</f>
        <v/>
      </c>
      <c r="E7" s="30" t="str">
        <f>IF(ISBLANK('Control Entry'!G28),"",'Control Entry'!G28)</f>
        <v/>
      </c>
      <c r="F7" s="96" t="str">
        <f>IF(ISBLANK('Control Entry'!J28),"",'Control Entry'!J28)</f>
        <v/>
      </c>
      <c r="G7" s="97"/>
      <c r="H7" s="26" t="s">
        <v>63</v>
      </c>
    </row>
    <row r="8" spans="1:22" ht="36" customHeight="1" thickBot="1" x14ac:dyDescent="0.25">
      <c r="A8" s="31"/>
      <c r="B8" s="32" t="str">
        <f>'Control Entry'!N28</f>
        <v/>
      </c>
      <c r="C8" s="32" t="str">
        <f>'Control Entry'!O28</f>
        <v/>
      </c>
      <c r="D8" s="33"/>
      <c r="E8" s="34" t="str">
        <f>IF(ISBLANK('Control Entry'!H28),"",'Control Entry'!H28)</f>
        <v/>
      </c>
      <c r="F8" s="101" t="str">
        <f>IF(ISBLANK('Control Entry'!K28),"",'Control Entry'!K28)</f>
        <v/>
      </c>
      <c r="G8" s="100"/>
      <c r="H8" s="26" t="s">
        <v>63</v>
      </c>
      <c r="J8" s="15" t="s">
        <v>71</v>
      </c>
      <c r="L8" s="120"/>
      <c r="M8" s="120"/>
      <c r="N8" s="120"/>
      <c r="O8" s="120"/>
      <c r="P8" s="120"/>
      <c r="Q8" s="120"/>
      <c r="S8" s="43" t="s">
        <v>72</v>
      </c>
      <c r="T8" s="131"/>
      <c r="U8" s="131"/>
    </row>
    <row r="9" spans="1:22" ht="36" customHeight="1" thickBot="1" x14ac:dyDescent="0.3">
      <c r="A9" s="27"/>
      <c r="B9" s="28" t="str">
        <f>'Control Entry'!N29</f>
        <v/>
      </c>
      <c r="C9" s="28" t="str">
        <f>'Control Entry'!O29</f>
        <v/>
      </c>
      <c r="D9" s="35"/>
      <c r="E9" s="30" t="str">
        <f>IF(ISBLANK('Control Entry'!F29),"",'Control Entry'!F29)</f>
        <v/>
      </c>
      <c r="F9" s="96" t="str">
        <f>IF(ISBLANK('Control Entry'!I29),"",'Control Entry'!I29)</f>
        <v/>
      </c>
      <c r="G9" s="97"/>
      <c r="H9" s="26" t="s">
        <v>63</v>
      </c>
      <c r="J9" s="15" t="s">
        <v>73</v>
      </c>
      <c r="K9" s="15"/>
      <c r="L9" s="114" t="s">
        <v>74</v>
      </c>
      <c r="M9" s="114"/>
      <c r="N9" s="114"/>
      <c r="O9" s="114"/>
      <c r="P9" s="114"/>
      <c r="Q9" s="114"/>
      <c r="R9" s="114"/>
      <c r="S9" s="114"/>
      <c r="T9" s="114"/>
      <c r="U9" s="114"/>
    </row>
    <row r="10" spans="1:22" ht="36" customHeight="1" thickBot="1" x14ac:dyDescent="0.3">
      <c r="A10" s="36" t="str">
        <f>IF(ISBLANK('Control Entry'!D29),"",'Control Entry'!D29)</f>
        <v/>
      </c>
      <c r="B10" s="37" t="str">
        <f>'Control Entry'!N29</f>
        <v/>
      </c>
      <c r="C10" s="37" t="str">
        <f>'Control Entry'!O29</f>
        <v/>
      </c>
      <c r="D10" s="38" t="str">
        <f>IF(ISBLANK('Control Entry'!E29),"",'Control Entry'!E29)</f>
        <v/>
      </c>
      <c r="E10" s="30" t="str">
        <f>IF(ISBLANK('Control Entry'!G29),"",'Control Entry'!G29)</f>
        <v/>
      </c>
      <c r="F10" s="96" t="str">
        <f>IF(ISBLANK('Control Entry'!J29),"",'Control Entry'!J29)</f>
        <v/>
      </c>
      <c r="G10" s="97"/>
      <c r="H10" s="26" t="s">
        <v>63</v>
      </c>
      <c r="J10" s="15"/>
      <c r="K10" s="15"/>
      <c r="L10" s="115"/>
      <c r="M10" s="115"/>
      <c r="N10" s="115"/>
      <c r="O10" s="115"/>
      <c r="P10" s="115"/>
      <c r="Q10" s="115"/>
      <c r="R10" s="115"/>
      <c r="S10" s="115"/>
      <c r="T10" s="115"/>
      <c r="U10" s="115"/>
    </row>
    <row r="11" spans="1:22" ht="36" customHeight="1" thickBot="1" x14ac:dyDescent="0.3">
      <c r="A11" s="31"/>
      <c r="B11" s="32" t="str">
        <f>'Control Entry'!N29</f>
        <v/>
      </c>
      <c r="C11" s="32" t="str">
        <f>'Control Entry'!O29</f>
        <v/>
      </c>
      <c r="D11" s="33"/>
      <c r="E11" s="34" t="str">
        <f>IF(ISBLANK('Control Entry'!H29),"",'Control Entry'!H29)</f>
        <v/>
      </c>
      <c r="F11" s="101" t="str">
        <f>IF(ISBLANK('Control Entry'!K29),"",'Control Entry'!K29)</f>
        <v/>
      </c>
      <c r="G11" s="100"/>
      <c r="H11" s="26" t="s">
        <v>63</v>
      </c>
      <c r="J11" s="15" t="s">
        <v>75</v>
      </c>
      <c r="K11" s="15"/>
      <c r="L11" s="115"/>
      <c r="M11" s="115"/>
      <c r="N11" s="115"/>
      <c r="O11" s="15"/>
      <c r="P11" s="15" t="s">
        <v>76</v>
      </c>
      <c r="Q11" s="15"/>
      <c r="R11" s="15"/>
      <c r="S11" s="139"/>
      <c r="T11" s="139"/>
      <c r="U11" s="139"/>
    </row>
    <row r="12" spans="1:22" ht="36" customHeight="1" thickBot="1" x14ac:dyDescent="0.3">
      <c r="A12" s="27"/>
      <c r="B12" s="28" t="str">
        <f>'Control Entry'!N30</f>
        <v/>
      </c>
      <c r="C12" s="28" t="str">
        <f>'Control Entry'!O30</f>
        <v/>
      </c>
      <c r="D12" s="35"/>
      <c r="E12" s="30" t="str">
        <f>IF(ISBLANK('Control Entry'!F30),"",'Control Entry'!F30)</f>
        <v/>
      </c>
      <c r="F12" s="96" t="str">
        <f>IF(ISBLANK('Control Entry'!I30),"",'Control Entry'!I30)</f>
        <v/>
      </c>
      <c r="G12" s="97"/>
      <c r="H12" s="26" t="s">
        <v>63</v>
      </c>
      <c r="J12" s="15" t="s">
        <v>77</v>
      </c>
      <c r="K12" s="15"/>
      <c r="L12" s="115"/>
      <c r="M12" s="115"/>
      <c r="N12" s="115"/>
      <c r="O12" s="15"/>
      <c r="P12" s="15" t="s">
        <v>78</v>
      </c>
      <c r="Q12" s="15"/>
      <c r="R12" s="15"/>
      <c r="S12" s="139"/>
      <c r="T12" s="139"/>
      <c r="U12" s="139"/>
    </row>
    <row r="13" spans="1:22" ht="36" customHeight="1" thickBot="1" x14ac:dyDescent="0.3">
      <c r="A13" s="36" t="str">
        <f>IF(ISBLANK('Control Entry'!D30),"",'Control Entry'!D30)</f>
        <v/>
      </c>
      <c r="B13" s="37" t="str">
        <f>'Control Entry'!N30</f>
        <v/>
      </c>
      <c r="C13" s="37" t="str">
        <f>'Control Entry'!O30</f>
        <v/>
      </c>
      <c r="D13" s="38" t="str">
        <f>IF(ISBLANK('Control Entry'!E30),"",'Control Entry'!E30)</f>
        <v/>
      </c>
      <c r="E13" s="30" t="str">
        <f>IF(ISBLANK('Control Entry'!G30),"",'Control Entry'!G30)</f>
        <v/>
      </c>
      <c r="F13" s="96" t="str">
        <f>IF(ISBLANK('Control Entry'!J30),"",'Control Entry'!J30)</f>
        <v/>
      </c>
      <c r="G13" s="97"/>
      <c r="H13" s="26" t="s">
        <v>63</v>
      </c>
      <c r="J13" s="15" t="s">
        <v>79</v>
      </c>
      <c r="L13" s="138"/>
      <c r="M13" s="138"/>
      <c r="N13" s="138"/>
      <c r="P13" s="15" t="s">
        <v>80</v>
      </c>
      <c r="Q13" s="15"/>
      <c r="R13" s="140"/>
      <c r="S13" s="140"/>
      <c r="T13" s="140"/>
      <c r="U13" s="140"/>
    </row>
    <row r="14" spans="1:22" ht="36" customHeight="1" thickBot="1" x14ac:dyDescent="0.25">
      <c r="A14" s="31"/>
      <c r="B14" s="32" t="str">
        <f>'Control Entry'!N30</f>
        <v/>
      </c>
      <c r="C14" s="32" t="str">
        <f>'Control Entry'!O30</f>
        <v/>
      </c>
      <c r="D14" s="33"/>
      <c r="E14" s="34" t="str">
        <f>IF(ISBLANK('Control Entry'!H30),"",'Control Entry'!H30)</f>
        <v/>
      </c>
      <c r="F14" s="101" t="str">
        <f>IF(ISBLANK('Control Entry'!K30),"",'Control Entry'!K30)</f>
        <v/>
      </c>
      <c r="G14" s="100"/>
      <c r="H14" s="26" t="s">
        <v>63</v>
      </c>
    </row>
    <row r="15" spans="1:22" ht="36" customHeight="1" x14ac:dyDescent="0.2">
      <c r="A15" s="27"/>
      <c r="B15" s="28" t="str">
        <f>'Control Entry'!N31</f>
        <v/>
      </c>
      <c r="C15" s="28" t="str">
        <f>'Control Entry'!O31</f>
        <v/>
      </c>
      <c r="D15" s="35"/>
      <c r="E15" s="30" t="str">
        <f>IF(ISBLANK('Control Entry'!F31),"",'Control Entry'!F31)</f>
        <v/>
      </c>
      <c r="F15" s="96" t="str">
        <f>IF(ISBLANK('Control Entry'!I31),"",'Control Entry'!I31)</f>
        <v/>
      </c>
      <c r="G15" s="97"/>
      <c r="H15" s="26" t="s">
        <v>63</v>
      </c>
      <c r="J15" s="15"/>
      <c r="L15" s="129" t="s">
        <v>81</v>
      </c>
      <c r="M15" s="129"/>
      <c r="N15" s="129"/>
      <c r="O15" s="129"/>
      <c r="P15" s="129"/>
      <c r="Q15" s="129"/>
      <c r="R15" s="129"/>
      <c r="S15" s="129"/>
      <c r="T15" s="129"/>
      <c r="U15" s="129"/>
    </row>
    <row r="16" spans="1:22" ht="36" customHeight="1" thickBot="1" x14ac:dyDescent="0.25">
      <c r="A16" s="36" t="str">
        <f>IF(ISBLANK('Control Entry'!D31),"",'Control Entry'!D31)</f>
        <v/>
      </c>
      <c r="B16" s="37" t="str">
        <f>'Control Entry'!N31</f>
        <v/>
      </c>
      <c r="C16" s="37" t="str">
        <f>'Control Entry'!O31</f>
        <v/>
      </c>
      <c r="D16" s="38" t="str">
        <f>IF(ISBLANK('Control Entry'!E31),"",'Control Entry'!E31)</f>
        <v/>
      </c>
      <c r="E16" s="30" t="str">
        <f>IF(ISBLANK('Control Entry'!G31),"",'Control Entry'!G31)</f>
        <v/>
      </c>
      <c r="F16" s="96" t="str">
        <f>IF(ISBLANK('Control Entry'!J31),"",'Control Entry'!J31)</f>
        <v/>
      </c>
      <c r="G16" s="97"/>
      <c r="H16" s="26" t="s">
        <v>63</v>
      </c>
      <c r="L16" s="116"/>
      <c r="M16" s="116"/>
      <c r="N16" s="116"/>
      <c r="O16" s="116"/>
      <c r="P16" s="116"/>
      <c r="Q16" s="116"/>
      <c r="R16" s="116"/>
      <c r="S16" s="116"/>
      <c r="T16" s="116"/>
      <c r="U16" s="116"/>
    </row>
    <row r="17" spans="1:22" ht="36" customHeight="1" thickBot="1" x14ac:dyDescent="0.25">
      <c r="A17" s="31"/>
      <c r="B17" s="32" t="str">
        <f>'Control Entry'!N31</f>
        <v/>
      </c>
      <c r="C17" s="32" t="str">
        <f>'Control Entry'!O31</f>
        <v/>
      </c>
      <c r="D17" s="33"/>
      <c r="E17" s="34" t="str">
        <f>IF(ISBLANK('Control Entry'!H31),"",'Control Entry'!H31)</f>
        <v/>
      </c>
      <c r="F17" s="101" t="str">
        <f>IF(ISBLANK('Control Entry'!K31),"",'Control Entry'!K31)</f>
        <v/>
      </c>
      <c r="G17" s="100"/>
      <c r="H17" s="26" t="s">
        <v>63</v>
      </c>
    </row>
    <row r="18" spans="1:22" ht="36" customHeight="1" x14ac:dyDescent="0.2">
      <c r="A18" s="27"/>
      <c r="B18" s="28" t="str">
        <f>'Control Entry'!N32</f>
        <v/>
      </c>
      <c r="C18" s="28" t="str">
        <f>'Control Entry'!O32</f>
        <v/>
      </c>
      <c r="D18" s="35"/>
      <c r="E18" s="30" t="str">
        <f>IF(ISBLANK('Control Entry'!F32),"",'Control Entry'!F32)</f>
        <v/>
      </c>
      <c r="F18" s="96" t="str">
        <f>IF(ISBLANK('Control Entry'!I32),"",'Control Entry'!I32)</f>
        <v/>
      </c>
      <c r="G18" s="97"/>
      <c r="H18" s="26" t="s">
        <v>63</v>
      </c>
    </row>
    <row r="19" spans="1:22" ht="36" customHeight="1" x14ac:dyDescent="0.2">
      <c r="A19" s="36" t="str">
        <f>IF(ISBLANK('Control Entry'!D32),"",'Control Entry'!D32)</f>
        <v/>
      </c>
      <c r="B19" s="37" t="str">
        <f>'Control Entry'!N32</f>
        <v/>
      </c>
      <c r="C19" s="37" t="str">
        <f>'Control Entry'!O32</f>
        <v/>
      </c>
      <c r="D19" s="38" t="str">
        <f>IF(ISBLANK('Control Entry'!E32),"",'Control Entry'!E32)</f>
        <v/>
      </c>
      <c r="E19" s="30" t="str">
        <f>IF(ISBLANK('Control Entry'!G32),"",'Control Entry'!G32)</f>
        <v/>
      </c>
      <c r="F19" s="96" t="str">
        <f>IF(ISBLANK('Control Entry'!J32),"",'Control Entry'!J32)</f>
        <v/>
      </c>
      <c r="G19" s="97"/>
      <c r="H19" s="26" t="s">
        <v>63</v>
      </c>
    </row>
    <row r="20" spans="1:22" ht="36" customHeight="1" thickBot="1" x14ac:dyDescent="0.25">
      <c r="A20" s="31"/>
      <c r="B20" s="32" t="str">
        <f>'Control Entry'!N32</f>
        <v/>
      </c>
      <c r="C20" s="32" t="str">
        <f>'Control Entry'!O32</f>
        <v/>
      </c>
      <c r="D20" s="33"/>
      <c r="E20" s="34" t="str">
        <f>IF(ISBLANK('Control Entry'!H32),"",'Control Entry'!H32)</f>
        <v/>
      </c>
      <c r="F20" s="101" t="str">
        <f>IF(ISBLANK('Control Entry'!K32),"",'Control Entry'!K32)</f>
        <v/>
      </c>
      <c r="G20" s="100"/>
      <c r="H20" s="26" t="s">
        <v>63</v>
      </c>
      <c r="J20" s="53" t="s">
        <v>82</v>
      </c>
      <c r="K20" s="53"/>
      <c r="L20" s="141" t="str">
        <f>IF(ISBLANK('Control Entry'!B11),"",'Control Entry'!B11)</f>
        <v/>
      </c>
      <c r="M20" s="141"/>
      <c r="N20" s="141"/>
      <c r="P20" s="15" t="s">
        <v>83</v>
      </c>
      <c r="Q20" s="15"/>
      <c r="S20" s="128" t="str">
        <f>IF(ISBLANK('Control Entry'!B12),"",'Control Entry'!B12)</f>
        <v/>
      </c>
      <c r="T20" s="128"/>
      <c r="U20" s="128"/>
    </row>
    <row r="21" spans="1:22" ht="36" customHeight="1" x14ac:dyDescent="0.2">
      <c r="A21" s="27"/>
      <c r="B21" s="28" t="str">
        <f>'Control Entry'!N33</f>
        <v/>
      </c>
      <c r="C21" s="28" t="str">
        <f>'Control Entry'!O33</f>
        <v/>
      </c>
      <c r="D21" s="35"/>
      <c r="E21" s="30" t="str">
        <f>IF(ISBLANK('Control Entry'!F33),"",'Control Entry'!F33)</f>
        <v/>
      </c>
      <c r="F21" s="96" t="str">
        <f>IF(ISBLANK('Control Entry'!I33),"",'Control Entry'!I33)</f>
        <v/>
      </c>
      <c r="G21" s="97"/>
      <c r="H21" s="26" t="s">
        <v>63</v>
      </c>
      <c r="J21" s="53"/>
      <c r="K21" s="53"/>
      <c r="L21" s="52"/>
      <c r="M21" s="52"/>
      <c r="N21" s="52"/>
      <c r="P21" s="15"/>
      <c r="Q21" s="15"/>
      <c r="S21" s="54"/>
      <c r="T21" s="54"/>
      <c r="U21" s="54"/>
    </row>
    <row r="22" spans="1:22" ht="36" customHeight="1" thickBot="1" x14ac:dyDescent="0.25">
      <c r="A22" s="36" t="str">
        <f>IF(ISBLANK('Control Entry'!D33),"",'Control Entry'!D33)</f>
        <v/>
      </c>
      <c r="B22" s="37" t="str">
        <f>'Control Entry'!N33</f>
        <v/>
      </c>
      <c r="C22" s="37" t="str">
        <f>'Control Entry'!O33</f>
        <v/>
      </c>
      <c r="D22" s="38" t="str">
        <f>IF(ISBLANK('Control Entry'!E33),"",'Control Entry'!E33)</f>
        <v/>
      </c>
      <c r="E22" s="30" t="str">
        <f>IF(ISBLANK('Control Entry'!G33),"",'Control Entry'!G33)</f>
        <v/>
      </c>
      <c r="F22" s="96" t="str">
        <f>IF(ISBLANK('Control Entry'!J33),"",'Control Entry'!J33)</f>
        <v/>
      </c>
      <c r="G22" s="97"/>
      <c r="H22" s="26" t="s">
        <v>63</v>
      </c>
      <c r="J22" s="53" t="s">
        <v>84</v>
      </c>
      <c r="K22" s="53"/>
      <c r="L22" s="117"/>
      <c r="M22" s="117"/>
      <c r="N22" s="117"/>
      <c r="P22" s="15" t="s">
        <v>85</v>
      </c>
      <c r="Q22" s="15"/>
      <c r="S22" s="113"/>
      <c r="T22" s="113"/>
      <c r="U22" s="113"/>
    </row>
    <row r="23" spans="1:22" ht="36" customHeight="1" thickBot="1" x14ac:dyDescent="0.25">
      <c r="A23" s="31"/>
      <c r="B23" s="32" t="str">
        <f>'Control Entry'!N33</f>
        <v/>
      </c>
      <c r="C23" s="32" t="str">
        <f>'Control Entry'!O33</f>
        <v/>
      </c>
      <c r="D23" s="33"/>
      <c r="E23" s="34" t="str">
        <f>IF(ISBLANK('Control Entry'!H33),"",'Control Entry'!H33)</f>
        <v/>
      </c>
      <c r="F23" s="101" t="str">
        <f>IF(ISBLANK('Control Entry'!K33),"",'Control Entry'!K33)</f>
        <v/>
      </c>
      <c r="G23" s="100"/>
      <c r="H23" s="26" t="s">
        <v>63</v>
      </c>
      <c r="J23" s="53"/>
      <c r="K23" s="53"/>
      <c r="L23" s="52"/>
      <c r="M23" s="52"/>
      <c r="N23" s="52"/>
      <c r="P23" s="15"/>
      <c r="Q23" s="15"/>
    </row>
    <row r="24" spans="1:22" ht="36" customHeight="1" thickBot="1" x14ac:dyDescent="0.25">
      <c r="A24" s="27"/>
      <c r="B24" s="28" t="str">
        <f>'Control Entry'!N34</f>
        <v/>
      </c>
      <c r="C24" s="28" t="str">
        <f>'Control Entry'!O34</f>
        <v/>
      </c>
      <c r="D24" s="35"/>
      <c r="E24" s="30" t="str">
        <f>IF(ISBLANK('Control Entry'!F34),"",'Control Entry'!F34)</f>
        <v/>
      </c>
      <c r="F24" s="96" t="str">
        <f>IF(ISBLANK('Control Entry'!I34),"",'Control Entry'!I34)</f>
        <v/>
      </c>
      <c r="G24" s="97"/>
      <c r="H24" s="26" t="s">
        <v>63</v>
      </c>
      <c r="J24" s="113"/>
      <c r="K24" s="113"/>
      <c r="L24" s="113"/>
      <c r="M24" s="113"/>
      <c r="N24" s="113"/>
      <c r="P24" s="15" t="s">
        <v>86</v>
      </c>
      <c r="Q24" s="15"/>
      <c r="S24" s="113"/>
      <c r="T24" s="113"/>
      <c r="U24" s="113"/>
    </row>
    <row r="25" spans="1:22" ht="36" customHeight="1" x14ac:dyDescent="0.2">
      <c r="A25" s="36" t="str">
        <f>IF(ISBLANK('Control Entry'!D34),"",'Control Entry'!D34)</f>
        <v/>
      </c>
      <c r="B25" s="37" t="str">
        <f>'Control Entry'!N34</f>
        <v/>
      </c>
      <c r="C25" s="37" t="str">
        <f>'Control Entry'!O34</f>
        <v/>
      </c>
      <c r="D25" s="38" t="str">
        <f>IF(ISBLANK('Control Entry'!E34),"",'Control Entry'!E34)</f>
        <v/>
      </c>
      <c r="E25" s="30" t="str">
        <f>IF(ISBLANK('Control Entry'!G34),"",'Control Entry'!G34)</f>
        <v/>
      </c>
      <c r="F25" s="96" t="str">
        <f>IF(ISBLANK('Control Entry'!J34),"",'Control Entry'!J34)</f>
        <v/>
      </c>
      <c r="G25" s="97"/>
      <c r="H25" s="26" t="s">
        <v>63</v>
      </c>
      <c r="J25" s="126" t="s">
        <v>87</v>
      </c>
      <c r="K25" s="126"/>
      <c r="L25" s="126"/>
      <c r="M25" s="126"/>
      <c r="N25" s="126"/>
      <c r="O25" s="47"/>
      <c r="P25" s="124"/>
      <c r="Q25" s="124"/>
      <c r="R25" s="47"/>
      <c r="S25" s="125"/>
      <c r="T25" s="125"/>
      <c r="U25" s="125"/>
      <c r="V25" s="125"/>
    </row>
    <row r="26" spans="1:22" ht="36" customHeight="1" thickBot="1" x14ac:dyDescent="0.25">
      <c r="A26" s="31"/>
      <c r="B26" s="32" t="str">
        <f>'Control Entry'!N34</f>
        <v/>
      </c>
      <c r="C26" s="32" t="str">
        <f>'Control Entry'!O34</f>
        <v/>
      </c>
      <c r="D26" s="33"/>
      <c r="E26" s="34" t="str">
        <f>IF(ISBLANK('Control Entry'!H34),"",'Control Entry'!H34)</f>
        <v/>
      </c>
      <c r="F26" s="101" t="str">
        <f>IF(ISBLANK('Control Entry'!K34),"",'Control Entry'!K34)</f>
        <v/>
      </c>
      <c r="G26" s="100"/>
      <c r="H26" s="26" t="s">
        <v>63</v>
      </c>
    </row>
    <row r="27" spans="1:22" ht="36" customHeight="1" x14ac:dyDescent="0.2">
      <c r="A27" s="27"/>
      <c r="B27" s="28" t="str">
        <f>'Control Entry'!N35</f>
        <v/>
      </c>
      <c r="C27" s="28" t="str">
        <f>'Control Entry'!O35</f>
        <v/>
      </c>
      <c r="D27" s="35"/>
      <c r="E27" s="30" t="str">
        <f>IF(ISBLANK('Control Entry'!F35),"",'Control Entry'!F35)</f>
        <v/>
      </c>
      <c r="F27" s="96" t="str">
        <f>IF(ISBLANK('Control Entry'!I35),"",'Control Entry'!I35)</f>
        <v/>
      </c>
      <c r="G27" s="97"/>
      <c r="H27" s="26" t="s">
        <v>63</v>
      </c>
      <c r="K27" s="123" t="s">
        <v>88</v>
      </c>
      <c r="L27" s="124"/>
      <c r="M27" s="46" t="s">
        <v>89</v>
      </c>
      <c r="N27" s="124" t="s">
        <v>90</v>
      </c>
      <c r="O27" s="124"/>
      <c r="P27" s="124" t="s">
        <v>91</v>
      </c>
      <c r="Q27" s="124"/>
      <c r="R27" s="47" t="s">
        <v>92</v>
      </c>
      <c r="S27" s="125" t="s">
        <v>93</v>
      </c>
      <c r="T27" s="125"/>
      <c r="U27" s="125" t="s">
        <v>94</v>
      </c>
      <c r="V27" s="125"/>
    </row>
    <row r="28" spans="1:22" ht="36" customHeight="1" x14ac:dyDescent="0.2">
      <c r="A28" s="36" t="str">
        <f>IF(ISBLANK('Control Entry'!D35),"",'Control Entry'!D35)</f>
        <v/>
      </c>
      <c r="B28" s="37" t="str">
        <f>'Control Entry'!N35</f>
        <v/>
      </c>
      <c r="C28" s="37" t="str">
        <f>'Control Entry'!O35</f>
        <v/>
      </c>
      <c r="D28" s="38" t="str">
        <f>IF(ISBLANK('Control Entry'!E35),"",'Control Entry'!E35)</f>
        <v/>
      </c>
      <c r="E28" s="30" t="str">
        <f>IF(ISBLANK('Control Entry'!G35),"",'Control Entry'!G35)</f>
        <v/>
      </c>
      <c r="F28" s="96" t="str">
        <f>IF(ISBLANK('Control Entry'!J35),"",'Control Entry'!J35)</f>
        <v/>
      </c>
      <c r="G28" s="97"/>
      <c r="H28" s="26" t="s">
        <v>63</v>
      </c>
    </row>
    <row r="29" spans="1:22" ht="36" customHeight="1" thickBot="1" x14ac:dyDescent="0.25">
      <c r="A29" s="31"/>
      <c r="B29" s="32" t="str">
        <f>'Control Entry'!N35</f>
        <v/>
      </c>
      <c r="C29" s="32" t="str">
        <f>'Control Entry'!O35</f>
        <v/>
      </c>
      <c r="D29" s="33"/>
      <c r="E29" s="34" t="str">
        <f>IF(ISBLANK('Control Entry'!H35),"",'Control Entry'!H35)</f>
        <v/>
      </c>
      <c r="F29" s="101" t="str">
        <f>IF(ISBLANK('Control Entry'!K35),"",'Control Entry'!K35)</f>
        <v/>
      </c>
      <c r="G29" s="100"/>
      <c r="H29" s="26" t="s">
        <v>63</v>
      </c>
      <c r="M29" s="132" t="s">
        <v>95</v>
      </c>
      <c r="N29" s="132"/>
      <c r="O29" s="132"/>
      <c r="P29" s="132"/>
      <c r="Q29" s="132"/>
      <c r="R29" s="132"/>
      <c r="S29" s="132"/>
      <c r="T29" s="132"/>
      <c r="U29" s="51"/>
    </row>
    <row r="30" spans="1:22" ht="36" customHeight="1" x14ac:dyDescent="0.2">
      <c r="A30" s="27"/>
      <c r="B30" s="28" t="str">
        <f>'Control Entry'!N36</f>
        <v/>
      </c>
      <c r="C30" s="28" t="str">
        <f>'Control Entry'!O36</f>
        <v/>
      </c>
      <c r="D30" s="35"/>
      <c r="E30" s="30" t="str">
        <f>IF(ISBLANK('Control Entry'!F36),"",'Control Entry'!F36)</f>
        <v/>
      </c>
      <c r="F30" s="96" t="str">
        <f>IF(ISBLANK('Control Entry'!I36),"",'Control Entry'!I36)</f>
        <v/>
      </c>
      <c r="G30" s="97"/>
      <c r="H30" s="26" t="s">
        <v>63</v>
      </c>
      <c r="M30" s="16"/>
      <c r="N30" s="19"/>
      <c r="O30" s="19"/>
      <c r="P30" s="20"/>
      <c r="Q30" s="19"/>
      <c r="R30" s="19"/>
      <c r="S30" s="19"/>
      <c r="T30" s="20"/>
    </row>
    <row r="31" spans="1:22" ht="36" customHeight="1" x14ac:dyDescent="0.2">
      <c r="A31" s="36" t="str">
        <f>IF(ISBLANK('Control Entry'!D36),"",'Control Entry'!D36)</f>
        <v/>
      </c>
      <c r="B31" s="37" t="str">
        <f>'Control Entry'!N36</f>
        <v/>
      </c>
      <c r="C31" s="37" t="str">
        <f>'Control Entry'!O36</f>
        <v/>
      </c>
      <c r="D31" s="38" t="str">
        <f>IF(ISBLANK('Control Entry'!E36),"",'Control Entry'!E36)</f>
        <v/>
      </c>
      <c r="E31" s="30" t="str">
        <f>IF(ISBLANK('Control Entry'!G36),"",'Control Entry'!G36)</f>
        <v/>
      </c>
      <c r="F31" s="96" t="str">
        <f>IF(ISBLANK('Control Entry'!J36),"",'Control Entry'!J36)</f>
        <v/>
      </c>
      <c r="G31" s="97"/>
      <c r="H31" s="26" t="s">
        <v>63</v>
      </c>
      <c r="M31" s="17"/>
      <c r="P31" s="21"/>
      <c r="T31" s="21"/>
    </row>
    <row r="32" spans="1:22" ht="36" customHeight="1" thickBot="1" x14ac:dyDescent="0.25">
      <c r="A32" s="31"/>
      <c r="B32" s="32" t="str">
        <f>'Control Entry'!N36</f>
        <v/>
      </c>
      <c r="C32" s="32" t="str">
        <f>'Control Entry'!O36</f>
        <v/>
      </c>
      <c r="D32" s="33"/>
      <c r="E32" s="34" t="str">
        <f>IF(ISBLANK('Control Entry'!H36),"",'Control Entry'!H36)</f>
        <v/>
      </c>
      <c r="F32" s="101" t="str">
        <f>IF(ISBLANK('Control Entry'!K36),"",'Control Entry'!K36)</f>
        <v/>
      </c>
      <c r="G32" s="100"/>
      <c r="H32" s="26" t="s">
        <v>63</v>
      </c>
      <c r="M32" s="49"/>
      <c r="N32" s="18"/>
      <c r="O32" s="18"/>
      <c r="P32" s="22"/>
      <c r="Q32" s="18"/>
      <c r="R32" s="18"/>
      <c r="S32" s="18"/>
      <c r="T32" s="22"/>
    </row>
    <row r="33" spans="1:22" ht="36" customHeight="1" x14ac:dyDescent="0.2">
      <c r="A33" s="122" t="s">
        <v>96</v>
      </c>
      <c r="B33" s="122"/>
      <c r="C33" s="122"/>
      <c r="D33" s="122"/>
      <c r="E33" s="122"/>
      <c r="F33" s="122"/>
      <c r="G33" s="122"/>
      <c r="H33" s="39"/>
      <c r="I33" s="39"/>
      <c r="M33" s="133" t="s">
        <v>3</v>
      </c>
      <c r="N33" s="134"/>
      <c r="O33" s="134"/>
      <c r="P33" s="134"/>
      <c r="Q33" s="135">
        <f>'Control Entry'!B3</f>
        <v>44674</v>
      </c>
      <c r="R33" s="136"/>
      <c r="S33" s="136"/>
      <c r="T33" s="136"/>
      <c r="V33" s="52"/>
    </row>
    <row r="34" spans="1:22" ht="36" customHeight="1" x14ac:dyDescent="0.2">
      <c r="A34"/>
      <c r="O34" s="15"/>
      <c r="P34" s="15"/>
      <c r="Q34" s="15"/>
      <c r="R34" s="44"/>
    </row>
    <row r="35" spans="1:22" ht="36" customHeight="1" x14ac:dyDescent="0.2">
      <c r="A35"/>
      <c r="N35" s="132"/>
      <c r="O35" s="132"/>
      <c r="P35" s="132"/>
      <c r="Q35" s="132"/>
      <c r="R35" s="132"/>
      <c r="S35" s="132"/>
      <c r="T35" s="132"/>
      <c r="U35" s="132"/>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iSFPuqAqE6+8VyiozruXJoR0qw+BhLOka06RpuEl+NEbHzoKtGxcXBR0xAT9porKkYsihwmQXc6z1GyM7R9v2A==" saltValue="p5OooFQccywreS3mUMh78Q==" spinCount="100000" sheet="1" objects="1" scenarios="1" formatCells="0" selectLockedCells="1"/>
  <mergeCells count="39">
    <mergeCell ref="M33:P33"/>
    <mergeCell ref="S24:U24"/>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 ref="U27:V27"/>
    <mergeCell ref="A1:G1"/>
    <mergeCell ref="K2:U2"/>
    <mergeCell ref="M4:T4"/>
    <mergeCell ref="N5:O5"/>
    <mergeCell ref="R5:U5"/>
    <mergeCell ref="O3:R3"/>
    <mergeCell ref="Q33:T33"/>
    <mergeCell ref="L20:N20"/>
    <mergeCell ref="L6:U6"/>
    <mergeCell ref="T8:U8"/>
    <mergeCell ref="L9:U9"/>
    <mergeCell ref="L10:U10"/>
    <mergeCell ref="L11:N11"/>
    <mergeCell ref="S11:U11"/>
    <mergeCell ref="L12:N12"/>
    <mergeCell ref="S12:U12"/>
    <mergeCell ref="L13:N13"/>
    <mergeCell ref="R13:U13"/>
    <mergeCell ref="L16:U16"/>
    <mergeCell ref="L22:N22"/>
    <mergeCell ref="S22:U22"/>
    <mergeCell ref="J24:N24"/>
  </mergeCells>
  <phoneticPr fontId="16" type="noConversion"/>
  <printOptions horizontalCentered="1" verticalCentered="1"/>
  <pageMargins left="0.2" right="0.2" top="0.2" bottom="0.2" header="0.51" footer="0.51"/>
  <pageSetup scale="44"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topLeftCell="A2" zoomScale="92" zoomScaleNormal="92" zoomScalePageLayoutView="92" workbookViewId="0">
      <selection activeCell="F5" sqref="F5"/>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customWidth="1"/>
    <col min="9" max="9" width="12" customWidth="1"/>
    <col min="18" max="19" width="8.83203125" customWidth="1"/>
  </cols>
  <sheetData>
    <row r="1" spans="1:22" ht="21" thickBot="1" x14ac:dyDescent="0.2">
      <c r="A1" s="121" t="s">
        <v>97</v>
      </c>
      <c r="B1" s="121"/>
      <c r="C1" s="121"/>
      <c r="D1" s="121"/>
      <c r="E1" s="121"/>
      <c r="F1" s="121"/>
      <c r="G1" s="121"/>
      <c r="H1" s="26" t="s">
        <v>63</v>
      </c>
    </row>
    <row r="2" spans="1:22" ht="33.75" customHeight="1" thickBot="1" x14ac:dyDescent="0.25">
      <c r="A2" s="68" t="s">
        <v>64</v>
      </c>
      <c r="B2" s="9" t="s">
        <v>30</v>
      </c>
      <c r="C2" s="9" t="s">
        <v>31</v>
      </c>
      <c r="D2" s="9" t="s">
        <v>23</v>
      </c>
      <c r="E2" s="9" t="s">
        <v>65</v>
      </c>
      <c r="F2" s="9" t="s">
        <v>66</v>
      </c>
      <c r="G2" s="68" t="s">
        <v>67</v>
      </c>
      <c r="H2" s="26" t="s">
        <v>63</v>
      </c>
      <c r="K2" s="119" t="s">
        <v>68</v>
      </c>
      <c r="L2" s="119"/>
      <c r="M2" s="119"/>
      <c r="N2" s="119"/>
      <c r="O2" s="119"/>
      <c r="P2" s="119"/>
      <c r="Q2" s="119"/>
      <c r="R2" s="119"/>
      <c r="S2" s="119"/>
      <c r="T2" s="119"/>
      <c r="U2" s="119"/>
    </row>
    <row r="3" spans="1:22" ht="36" customHeight="1" x14ac:dyDescent="0.45">
      <c r="A3" s="27"/>
      <c r="B3" s="28" t="str">
        <f>'Control Entry'!N40</f>
        <v/>
      </c>
      <c r="C3" s="28" t="str">
        <f>'Control Entry'!O40</f>
        <v/>
      </c>
      <c r="D3" s="29"/>
      <c r="E3" s="30" t="str">
        <f>IF(ISBLANK('Control Entry'!F40),"",'Control Entry'!F40)</f>
        <v/>
      </c>
      <c r="F3" s="96" t="str">
        <f>IF(ISBLANK('Control Entry'!I40),"",'Control Entry'!I40)</f>
        <v/>
      </c>
      <c r="G3" s="97"/>
      <c r="H3" s="26" t="s">
        <v>63</v>
      </c>
      <c r="K3" s="14"/>
      <c r="O3" s="127" t="s">
        <v>98</v>
      </c>
      <c r="P3" s="127"/>
      <c r="Q3" s="127"/>
      <c r="R3" s="127"/>
      <c r="S3" s="84" t="str">
        <f>IF('Control Entry'!D40=0,"","#3")</f>
        <v/>
      </c>
      <c r="T3" s="85"/>
      <c r="U3" s="40"/>
    </row>
    <row r="4" spans="1:22" ht="36" customHeight="1" x14ac:dyDescent="0.2">
      <c r="A4" s="36" t="str">
        <f>IF(ISBLANK('Control Entry'!D40),"",'Control Entry'!D40)</f>
        <v/>
      </c>
      <c r="B4" s="37" t="str">
        <f>'Control Entry'!N40</f>
        <v/>
      </c>
      <c r="C4" s="37" t="str">
        <f>'Control Entry'!O40</f>
        <v/>
      </c>
      <c r="D4" s="38" t="str">
        <f>IF(ISBLANK('Control Entry'!E40),"",'Control Entry'!E40)</f>
        <v/>
      </c>
      <c r="E4" s="30" t="str">
        <f>IF(ISBLANK('Control Entry'!G40),"",'Control Entry'!G40)</f>
        <v/>
      </c>
      <c r="F4" s="96" t="str">
        <f>IF(ISBLANK('Control Entry'!J40),"",'Control Entry'!J40)</f>
        <v/>
      </c>
      <c r="G4" s="97"/>
      <c r="H4" s="26" t="s">
        <v>63</v>
      </c>
      <c r="K4" s="14"/>
      <c r="M4" s="123" t="str">
        <f>IF(ISBLANK(brevet),"",brevet&amp;" km Randonnée")</f>
        <v>200 km Randonnée</v>
      </c>
      <c r="N4" s="123"/>
      <c r="O4" s="123"/>
      <c r="P4" s="123"/>
      <c r="Q4" s="123"/>
      <c r="R4" s="123"/>
      <c r="S4" s="123"/>
      <c r="T4" s="123"/>
      <c r="U4" s="41"/>
    </row>
    <row r="5" spans="1:22" ht="36" customHeight="1" thickBot="1" x14ac:dyDescent="0.25">
      <c r="A5" s="31"/>
      <c r="B5" s="32" t="str">
        <f>'Control Entry'!N40</f>
        <v/>
      </c>
      <c r="C5" s="32" t="str">
        <f>'Control Entry'!O40</f>
        <v/>
      </c>
      <c r="D5" s="33"/>
      <c r="E5" s="34" t="str">
        <f>IF(ISBLANK('Control Entry'!H27),"",'Control Entry'!H27)</f>
        <v/>
      </c>
      <c r="F5" s="101" t="str">
        <f>IF(ISBLANK('Control Entry'!K40),"",'Control Entry'!K40)</f>
        <v/>
      </c>
      <c r="G5" s="100"/>
      <c r="H5" s="26" t="s">
        <v>63</v>
      </c>
      <c r="K5" s="14"/>
      <c r="M5" s="15"/>
      <c r="N5" s="125" t="s">
        <v>70</v>
      </c>
      <c r="O5" s="125"/>
      <c r="P5" s="55" t="str">
        <f>IF(ISBLANK(Brevet_Number),"",Brevet_Number)</f>
        <v/>
      </c>
      <c r="Q5" s="56"/>
      <c r="R5" s="118" t="str">
        <f>IF(ISBLANK('Control Entry'!$B9),"",'Control Entry'!$B9)</f>
        <v/>
      </c>
      <c r="S5" s="118"/>
      <c r="T5" s="118"/>
      <c r="U5" s="118"/>
      <c r="V5" s="42"/>
    </row>
    <row r="6" spans="1:22" ht="36" customHeight="1" x14ac:dyDescent="0.2">
      <c r="A6" s="27"/>
      <c r="B6" s="28" t="str">
        <f>'Control Entry'!N41</f>
        <v/>
      </c>
      <c r="C6" s="28" t="str">
        <f>'Control Entry'!O41</f>
        <v/>
      </c>
      <c r="D6" s="35"/>
      <c r="E6" s="30" t="str">
        <f>IF(ISBLANK('Control Entry'!F41),"",'Control Entry'!F41)</f>
        <v/>
      </c>
      <c r="F6" s="96" t="str">
        <f>IF(ISBLANK('Control Entry'!I41),"",'Control Entry'!I41)</f>
        <v/>
      </c>
      <c r="G6" s="97"/>
      <c r="H6" s="26" t="s">
        <v>63</v>
      </c>
      <c r="K6" s="14"/>
      <c r="L6" s="130" t="str">
        <f>IF(ISBLANK(Brevet_Description),"",Brevet_Description)</f>
        <v>Cultus -Crescent-Cultus  Permanent</v>
      </c>
      <c r="M6" s="130"/>
      <c r="N6" s="130"/>
      <c r="O6" s="130"/>
      <c r="P6" s="130"/>
      <c r="Q6" s="130"/>
      <c r="R6" s="130"/>
      <c r="S6" s="130"/>
      <c r="T6" s="130"/>
      <c r="U6" s="130"/>
    </row>
    <row r="7" spans="1:22" ht="36" customHeight="1" x14ac:dyDescent="0.2">
      <c r="A7" s="36" t="str">
        <f>IF(ISBLANK('Control Entry'!D41),"",'Control Entry'!D41)</f>
        <v/>
      </c>
      <c r="B7" s="37" t="str">
        <f>'Control Entry'!N41</f>
        <v/>
      </c>
      <c r="C7" s="37" t="str">
        <f>'Control Entry'!O41</f>
        <v/>
      </c>
      <c r="D7" s="38" t="str">
        <f>IF(ISBLANK('Control Entry'!E41),"",'Control Entry'!E41)</f>
        <v/>
      </c>
      <c r="E7" s="30" t="str">
        <f>IF(ISBLANK('Control Entry'!G41),"",'Control Entry'!G41)</f>
        <v/>
      </c>
      <c r="F7" s="96" t="str">
        <f>IF(ISBLANK('Control Entry'!J41),"",'Control Entry'!J41)</f>
        <v/>
      </c>
      <c r="G7" s="97"/>
      <c r="H7" s="26" t="s">
        <v>63</v>
      </c>
    </row>
    <row r="8" spans="1:22" ht="36" customHeight="1" thickBot="1" x14ac:dyDescent="0.25">
      <c r="A8" s="31"/>
      <c r="B8" s="32" t="str">
        <f>'Control Entry'!N41</f>
        <v/>
      </c>
      <c r="C8" s="32" t="str">
        <f>'Control Entry'!O41</f>
        <v/>
      </c>
      <c r="D8" s="33"/>
      <c r="E8" s="34" t="str">
        <f>IF(ISBLANK('Control Entry'!H41),"",'Control Entry'!H41)</f>
        <v/>
      </c>
      <c r="F8" s="101" t="str">
        <f>IF(ISBLANK('Control Entry'!K41),"",'Control Entry'!K41)</f>
        <v/>
      </c>
      <c r="G8" s="100"/>
      <c r="H8" s="26" t="s">
        <v>63</v>
      </c>
      <c r="J8" s="15" t="s">
        <v>71</v>
      </c>
      <c r="L8" s="120"/>
      <c r="M8" s="120"/>
      <c r="N8" s="120"/>
      <c r="O8" s="120"/>
      <c r="P8" s="120"/>
      <c r="Q8" s="120"/>
      <c r="S8" s="43" t="s">
        <v>72</v>
      </c>
      <c r="T8" s="131"/>
      <c r="U8" s="131"/>
    </row>
    <row r="9" spans="1:22" ht="36" customHeight="1" thickBot="1" x14ac:dyDescent="0.3">
      <c r="A9" s="27"/>
      <c r="B9" s="28" t="str">
        <f>'Control Entry'!N42</f>
        <v/>
      </c>
      <c r="C9" s="28" t="str">
        <f>'Control Entry'!O42</f>
        <v/>
      </c>
      <c r="D9" s="35"/>
      <c r="E9" s="30" t="str">
        <f>IF(ISBLANK('Control Entry'!F42),"",'Control Entry'!F42)</f>
        <v/>
      </c>
      <c r="F9" s="96" t="str">
        <f>IF(ISBLANK('Control Entry'!I42),"",'Control Entry'!I42)</f>
        <v/>
      </c>
      <c r="G9" s="97"/>
      <c r="H9" s="26" t="s">
        <v>63</v>
      </c>
      <c r="J9" s="15" t="s">
        <v>73</v>
      </c>
      <c r="K9" s="15"/>
      <c r="L9" s="114" t="s">
        <v>74</v>
      </c>
      <c r="M9" s="114"/>
      <c r="N9" s="114"/>
      <c r="O9" s="114"/>
      <c r="P9" s="114"/>
      <c r="Q9" s="114"/>
      <c r="R9" s="114"/>
      <c r="S9" s="114"/>
      <c r="T9" s="114"/>
      <c r="U9" s="114"/>
    </row>
    <row r="10" spans="1:22" ht="36" customHeight="1" thickBot="1" x14ac:dyDescent="0.3">
      <c r="A10" s="36" t="str">
        <f>IF(ISBLANK('Control Entry'!D42),"",'Control Entry'!D42)</f>
        <v/>
      </c>
      <c r="B10" s="37" t="str">
        <f>'Control Entry'!N42</f>
        <v/>
      </c>
      <c r="C10" s="37" t="str">
        <f>'Control Entry'!O42</f>
        <v/>
      </c>
      <c r="D10" s="38" t="str">
        <f>IF(ISBLANK('Control Entry'!E42),"",'Control Entry'!E42)</f>
        <v/>
      </c>
      <c r="E10" s="30" t="str">
        <f>IF(ISBLANK('Control Entry'!G42),"",'Control Entry'!G42)</f>
        <v/>
      </c>
      <c r="F10" s="96" t="str">
        <f>IF(ISBLANK('Control Entry'!J42),"",'Control Entry'!J42)</f>
        <v/>
      </c>
      <c r="G10" s="97"/>
      <c r="H10" s="26" t="s">
        <v>63</v>
      </c>
      <c r="J10" s="15"/>
      <c r="K10" s="15"/>
      <c r="L10" s="115"/>
      <c r="M10" s="115"/>
      <c r="N10" s="115"/>
      <c r="O10" s="115"/>
      <c r="P10" s="115"/>
      <c r="Q10" s="115"/>
      <c r="R10" s="115"/>
      <c r="S10" s="115"/>
      <c r="T10" s="115"/>
      <c r="U10" s="115"/>
    </row>
    <row r="11" spans="1:22" ht="36" customHeight="1" thickBot="1" x14ac:dyDescent="0.3">
      <c r="A11" s="31"/>
      <c r="B11" s="32" t="str">
        <f>'Control Entry'!N42</f>
        <v/>
      </c>
      <c r="C11" s="32" t="str">
        <f>'Control Entry'!O42</f>
        <v/>
      </c>
      <c r="D11" s="33"/>
      <c r="E11" s="34" t="str">
        <f>IF(ISBLANK('Control Entry'!H42),"",'Control Entry'!H42)</f>
        <v/>
      </c>
      <c r="F11" s="101" t="str">
        <f>IF(ISBLANK('Control Entry'!K42),"",'Control Entry'!K42)</f>
        <v/>
      </c>
      <c r="G11" s="100"/>
      <c r="H11" s="26" t="s">
        <v>63</v>
      </c>
      <c r="J11" s="15" t="s">
        <v>75</v>
      </c>
      <c r="K11" s="15"/>
      <c r="L11" s="115"/>
      <c r="M11" s="115"/>
      <c r="N11" s="115"/>
      <c r="O11" s="15"/>
      <c r="P11" s="15" t="s">
        <v>76</v>
      </c>
      <c r="Q11" s="15"/>
      <c r="R11" s="15"/>
      <c r="S11" s="139"/>
      <c r="T11" s="139"/>
      <c r="U11" s="139"/>
    </row>
    <row r="12" spans="1:22" ht="36" customHeight="1" thickBot="1" x14ac:dyDescent="0.3">
      <c r="A12" s="27"/>
      <c r="B12" s="28" t="str">
        <f>'Control Entry'!N43</f>
        <v/>
      </c>
      <c r="C12" s="28" t="str">
        <f>'Control Entry'!O43</f>
        <v/>
      </c>
      <c r="D12" s="35"/>
      <c r="E12" s="30" t="str">
        <f>IF(ISBLANK('Control Entry'!F43),"",'Control Entry'!F43)</f>
        <v/>
      </c>
      <c r="F12" s="96" t="str">
        <f>IF(ISBLANK('Control Entry'!I43),"",'Control Entry'!I43)</f>
        <v/>
      </c>
      <c r="G12" s="97"/>
      <c r="H12" s="26" t="s">
        <v>63</v>
      </c>
      <c r="J12" s="15" t="s">
        <v>77</v>
      </c>
      <c r="K12" s="15"/>
      <c r="L12" s="115"/>
      <c r="M12" s="115"/>
      <c r="N12" s="115"/>
      <c r="O12" s="15"/>
      <c r="P12" s="15" t="s">
        <v>78</v>
      </c>
      <c r="Q12" s="15"/>
      <c r="R12" s="15"/>
      <c r="S12" s="139"/>
      <c r="T12" s="139"/>
      <c r="U12" s="139"/>
    </row>
    <row r="13" spans="1:22" ht="36" customHeight="1" thickBot="1" x14ac:dyDescent="0.3">
      <c r="A13" s="36" t="str">
        <f>IF(ISBLANK('Control Entry'!D43),"",'Control Entry'!D43)</f>
        <v/>
      </c>
      <c r="B13" s="37" t="str">
        <f>'Control Entry'!N43</f>
        <v/>
      </c>
      <c r="C13" s="37" t="str">
        <f>'Control Entry'!O43</f>
        <v/>
      </c>
      <c r="D13" s="38" t="str">
        <f>IF(ISBLANK('Control Entry'!E43),"",'Control Entry'!E43)</f>
        <v/>
      </c>
      <c r="E13" s="30" t="str">
        <f>IF(ISBLANK('Control Entry'!G43),"",'Control Entry'!G43)</f>
        <v/>
      </c>
      <c r="F13" s="96" t="str">
        <f>IF(ISBLANK('Control Entry'!J43),"",'Control Entry'!J43)</f>
        <v/>
      </c>
      <c r="G13" s="97"/>
      <c r="H13" s="26" t="s">
        <v>63</v>
      </c>
      <c r="J13" s="15" t="s">
        <v>79</v>
      </c>
      <c r="L13" s="138"/>
      <c r="M13" s="138"/>
      <c r="N13" s="138"/>
      <c r="P13" s="15" t="s">
        <v>80</v>
      </c>
      <c r="Q13" s="15"/>
      <c r="R13" s="140"/>
      <c r="S13" s="140"/>
      <c r="T13" s="140"/>
      <c r="U13" s="140"/>
    </row>
    <row r="14" spans="1:22" ht="36" customHeight="1" thickBot="1" x14ac:dyDescent="0.25">
      <c r="A14" s="31"/>
      <c r="B14" s="32" t="str">
        <f>'Control Entry'!N43</f>
        <v/>
      </c>
      <c r="C14" s="32" t="str">
        <f>'Control Entry'!O43</f>
        <v/>
      </c>
      <c r="D14" s="33"/>
      <c r="E14" s="34" t="str">
        <f>IF(ISBLANK('Control Entry'!H43),"",'Control Entry'!H43)</f>
        <v/>
      </c>
      <c r="F14" s="101" t="str">
        <f>IF(ISBLANK('Control Entry'!K43),"",'Control Entry'!K43)</f>
        <v/>
      </c>
      <c r="G14" s="100"/>
      <c r="H14" s="26" t="s">
        <v>63</v>
      </c>
    </row>
    <row r="15" spans="1:22" ht="36" customHeight="1" x14ac:dyDescent="0.2">
      <c r="A15" s="27"/>
      <c r="B15" s="28" t="str">
        <f>'Control Entry'!N44</f>
        <v/>
      </c>
      <c r="C15" s="28" t="str">
        <f>'Control Entry'!O44</f>
        <v/>
      </c>
      <c r="D15" s="35"/>
      <c r="E15" s="30" t="str">
        <f>IF(ISBLANK('Control Entry'!F44),"",'Control Entry'!F44)</f>
        <v/>
      </c>
      <c r="F15" s="96" t="str">
        <f>IF(ISBLANK('Control Entry'!I44),"",'Control Entry'!I44)</f>
        <v/>
      </c>
      <c r="G15" s="97"/>
      <c r="H15" s="26" t="s">
        <v>63</v>
      </c>
      <c r="J15" s="15"/>
      <c r="L15" s="129" t="s">
        <v>81</v>
      </c>
      <c r="M15" s="129"/>
      <c r="N15" s="129"/>
      <c r="O15" s="129"/>
      <c r="P15" s="129"/>
      <c r="Q15" s="129"/>
      <c r="R15" s="129"/>
      <c r="S15" s="129"/>
      <c r="T15" s="129"/>
      <c r="U15" s="129"/>
    </row>
    <row r="16" spans="1:22" ht="36" customHeight="1" thickBot="1" x14ac:dyDescent="0.25">
      <c r="A16" s="36" t="str">
        <f>IF(ISBLANK('Control Entry'!D44),"",'Control Entry'!D44)</f>
        <v/>
      </c>
      <c r="B16" s="37" t="str">
        <f>'Control Entry'!N44</f>
        <v/>
      </c>
      <c r="C16" s="37" t="str">
        <f>'Control Entry'!O44</f>
        <v/>
      </c>
      <c r="D16" s="38" t="str">
        <f>IF(ISBLANK('Control Entry'!E44),"",'Control Entry'!E44)</f>
        <v/>
      </c>
      <c r="E16" s="30" t="str">
        <f>IF(ISBLANK('Control Entry'!G44),"",'Control Entry'!G44)</f>
        <v/>
      </c>
      <c r="F16" s="96" t="str">
        <f>IF(ISBLANK('Control Entry'!J44),"",'Control Entry'!J44)</f>
        <v/>
      </c>
      <c r="G16" s="97"/>
      <c r="H16" s="26" t="s">
        <v>63</v>
      </c>
      <c r="L16" s="142"/>
      <c r="M16" s="142"/>
      <c r="N16" s="142"/>
      <c r="O16" s="142"/>
      <c r="P16" s="142"/>
      <c r="Q16" s="142"/>
      <c r="R16" s="142"/>
      <c r="S16" s="142"/>
      <c r="T16" s="142"/>
      <c r="U16" s="142"/>
    </row>
    <row r="17" spans="1:22" ht="36" customHeight="1" thickBot="1" x14ac:dyDescent="0.25">
      <c r="A17" s="31"/>
      <c r="B17" s="32" t="str">
        <f>'Control Entry'!N44</f>
        <v/>
      </c>
      <c r="C17" s="32" t="str">
        <f>'Control Entry'!O44</f>
        <v/>
      </c>
      <c r="D17" s="33"/>
      <c r="E17" s="34" t="str">
        <f>IF(ISBLANK('Control Entry'!H44),"",'Control Entry'!H44)</f>
        <v/>
      </c>
      <c r="F17" s="101" t="str">
        <f>IF(ISBLANK('Control Entry'!K44),"",'Control Entry'!K44)</f>
        <v/>
      </c>
      <c r="G17" s="100"/>
      <c r="H17" s="26" t="s">
        <v>63</v>
      </c>
    </row>
    <row r="18" spans="1:22" ht="36" customHeight="1" x14ac:dyDescent="0.2">
      <c r="A18" s="27"/>
      <c r="B18" s="28" t="str">
        <f>'Control Entry'!N45</f>
        <v/>
      </c>
      <c r="C18" s="28" t="str">
        <f>'Control Entry'!O45</f>
        <v/>
      </c>
      <c r="D18" s="35"/>
      <c r="E18" s="30" t="str">
        <f>IF(ISBLANK('Control Entry'!F45),"",'Control Entry'!F45)</f>
        <v/>
      </c>
      <c r="F18" s="96" t="str">
        <f>IF(ISBLANK('Control Entry'!I45),"",'Control Entry'!I45)</f>
        <v/>
      </c>
      <c r="G18" s="97"/>
      <c r="H18" s="26" t="s">
        <v>63</v>
      </c>
    </row>
    <row r="19" spans="1:22" ht="36" customHeight="1" x14ac:dyDescent="0.2">
      <c r="A19" s="36" t="str">
        <f>IF(ISBLANK('Control Entry'!D45),"",'Control Entry'!D45)</f>
        <v/>
      </c>
      <c r="B19" s="37" t="str">
        <f>'Control Entry'!N45</f>
        <v/>
      </c>
      <c r="C19" s="37" t="str">
        <f>'Control Entry'!O45</f>
        <v/>
      </c>
      <c r="D19" s="38" t="str">
        <f>IF(ISBLANK('Control Entry'!E45),"",'Control Entry'!E45)</f>
        <v/>
      </c>
      <c r="E19" s="30" t="str">
        <f>IF(ISBLANK('Control Entry'!G45),"",'Control Entry'!G45)</f>
        <v/>
      </c>
      <c r="F19" s="96" t="str">
        <f>IF(ISBLANK('Control Entry'!J45),"",'Control Entry'!J415)</f>
        <v/>
      </c>
      <c r="G19" s="97"/>
      <c r="H19" s="26" t="s">
        <v>63</v>
      </c>
    </row>
    <row r="20" spans="1:22" ht="36" customHeight="1" thickBot="1" x14ac:dyDescent="0.25">
      <c r="A20" s="31"/>
      <c r="B20" s="32" t="str">
        <f>'Control Entry'!N45</f>
        <v/>
      </c>
      <c r="C20" s="32" t="str">
        <f>'Control Entry'!O45</f>
        <v/>
      </c>
      <c r="D20" s="33"/>
      <c r="E20" s="34" t="str">
        <f>IF(ISBLANK('Control Entry'!H45),"",'Control Entry'!H45)</f>
        <v/>
      </c>
      <c r="F20" s="101" t="str">
        <f>IF(ISBLANK('Control Entry'!K45),"",'Control Entry'!K45)</f>
        <v/>
      </c>
      <c r="G20" s="100"/>
      <c r="H20" s="26" t="s">
        <v>63</v>
      </c>
      <c r="J20" s="53" t="s">
        <v>82</v>
      </c>
      <c r="K20" s="53"/>
      <c r="L20" s="137" t="str">
        <f>IF(ISBLANK('Control Entry'!B11),"",'Control Entry'!B11)</f>
        <v/>
      </c>
      <c r="M20" s="137"/>
      <c r="N20" s="137"/>
      <c r="P20" s="15" t="s">
        <v>83</v>
      </c>
      <c r="Q20" s="15"/>
      <c r="S20" s="128" t="str">
        <f>IF(ISBLANK('Control Entry'!B12),"",'Control Entry'!B12)</f>
        <v/>
      </c>
      <c r="T20" s="128"/>
      <c r="U20" s="128"/>
    </row>
    <row r="21" spans="1:22" ht="36" customHeight="1" x14ac:dyDescent="0.2">
      <c r="A21" s="27"/>
      <c r="B21" s="28" t="str">
        <f>'Control Entry'!N46</f>
        <v/>
      </c>
      <c r="C21" s="28" t="str">
        <f>'Control Entry'!O46</f>
        <v/>
      </c>
      <c r="D21" s="35"/>
      <c r="E21" s="30" t="str">
        <f>IF(ISBLANK('Control Entry'!F46),"",'Control Entry'!F46)</f>
        <v/>
      </c>
      <c r="F21" s="96" t="str">
        <f>IF(ISBLANK('Control Entry'!I46),"",'Control Entry'!I46)</f>
        <v/>
      </c>
      <c r="G21" s="97"/>
      <c r="H21" s="26" t="s">
        <v>63</v>
      </c>
      <c r="J21" s="53"/>
      <c r="K21" s="53"/>
      <c r="L21" s="52"/>
      <c r="M21" s="52"/>
      <c r="N21" s="52"/>
      <c r="P21" s="15"/>
      <c r="Q21" s="15"/>
      <c r="S21" s="54"/>
      <c r="T21" s="54"/>
      <c r="U21" s="54"/>
    </row>
    <row r="22" spans="1:22" ht="36" customHeight="1" thickBot="1" x14ac:dyDescent="0.25">
      <c r="A22" s="36" t="str">
        <f>IF(ISBLANK('Control Entry'!D46),"",'Control Entry'!D46)</f>
        <v/>
      </c>
      <c r="B22" s="37" t="str">
        <f>'Control Entry'!N46</f>
        <v/>
      </c>
      <c r="C22" s="37" t="str">
        <f>'Control Entry'!O46</f>
        <v/>
      </c>
      <c r="D22" s="38" t="str">
        <f>IF(ISBLANK('Control Entry'!E46),"",'Control Entry'!E46)</f>
        <v/>
      </c>
      <c r="E22" s="30" t="str">
        <f>IF(ISBLANK('Control Entry'!G46),"",'Control Entry'!G46)</f>
        <v/>
      </c>
      <c r="F22" s="96" t="str">
        <f>IF(ISBLANK('Control Entry'!J46),"",'Control Entry'!J46)</f>
        <v/>
      </c>
      <c r="G22" s="97"/>
      <c r="H22" s="26" t="s">
        <v>63</v>
      </c>
      <c r="J22" s="53" t="s">
        <v>84</v>
      </c>
      <c r="K22" s="53"/>
      <c r="L22" s="102"/>
      <c r="M22" s="102"/>
      <c r="N22" s="102"/>
      <c r="P22" s="15" t="s">
        <v>85</v>
      </c>
      <c r="Q22" s="15"/>
      <c r="S22" s="113"/>
      <c r="T22" s="113"/>
      <c r="U22" s="113"/>
    </row>
    <row r="23" spans="1:22" ht="36" customHeight="1" thickBot="1" x14ac:dyDescent="0.25">
      <c r="A23" s="31"/>
      <c r="B23" s="32" t="str">
        <f>'Control Entry'!N46</f>
        <v/>
      </c>
      <c r="C23" s="32" t="str">
        <f>'Control Entry'!O46</f>
        <v/>
      </c>
      <c r="D23" s="33"/>
      <c r="E23" s="34" t="str">
        <f>IF(ISBLANK('Control Entry'!H46),"",'Control Entry'!H46)</f>
        <v/>
      </c>
      <c r="F23" s="101" t="str">
        <f>IF(ISBLANK('Control Entry'!K46),"",'Control Entry'!K46)</f>
        <v/>
      </c>
      <c r="G23" s="100"/>
      <c r="H23" s="26" t="s">
        <v>63</v>
      </c>
      <c r="J23" s="53"/>
      <c r="K23" s="53"/>
      <c r="L23" s="52"/>
      <c r="M23" s="52"/>
      <c r="N23" s="52"/>
      <c r="P23" s="15"/>
      <c r="Q23" s="15"/>
    </row>
    <row r="24" spans="1:22" ht="36" customHeight="1" thickBot="1" x14ac:dyDescent="0.25">
      <c r="A24" s="27"/>
      <c r="B24" s="28" t="str">
        <f>'Control Entry'!N47</f>
        <v/>
      </c>
      <c r="C24" s="28" t="str">
        <f>'Control Entry'!O47</f>
        <v/>
      </c>
      <c r="D24" s="35"/>
      <c r="E24" s="30" t="str">
        <f>IF(ISBLANK('Control Entry'!F47),"",'Control Entry'!F47)</f>
        <v/>
      </c>
      <c r="F24" s="96" t="str">
        <f>IF(ISBLANK('Control Entry'!I34),"",'Control Entry'!I34)</f>
        <v/>
      </c>
      <c r="G24" s="97"/>
      <c r="H24" s="26" t="s">
        <v>63</v>
      </c>
      <c r="J24" s="113"/>
      <c r="K24" s="113"/>
      <c r="L24" s="113"/>
      <c r="M24" s="113"/>
      <c r="N24" s="113"/>
      <c r="P24" s="15" t="s">
        <v>86</v>
      </c>
      <c r="Q24" s="15"/>
      <c r="S24" s="113"/>
      <c r="T24" s="113"/>
      <c r="U24" s="113"/>
    </row>
    <row r="25" spans="1:22" ht="36" customHeight="1" x14ac:dyDescent="0.2">
      <c r="A25" s="36" t="str">
        <f>IF(ISBLANK('Control Entry'!D47),"",'Control Entry'!D47)</f>
        <v/>
      </c>
      <c r="B25" s="37" t="str">
        <f>'Control Entry'!N47</f>
        <v/>
      </c>
      <c r="C25" s="37" t="str">
        <f>'Control Entry'!O47</f>
        <v/>
      </c>
      <c r="D25" s="38" t="str">
        <f>IF(ISBLANK('Control Entry'!E47),"",'Control Entry'!E47)</f>
        <v/>
      </c>
      <c r="E25" s="30" t="str">
        <f>IF(ISBLANK('Control Entry'!G47),"",'Control Entry'!G47)</f>
        <v/>
      </c>
      <c r="F25" s="96" t="str">
        <f>IF(ISBLANK('Control Entry'!J34),"",'Control Entry'!J34)</f>
        <v/>
      </c>
      <c r="G25" s="97"/>
      <c r="H25" s="26" t="s">
        <v>63</v>
      </c>
      <c r="J25" s="126" t="s">
        <v>87</v>
      </c>
      <c r="K25" s="126"/>
      <c r="L25" s="126"/>
      <c r="M25" s="126"/>
      <c r="N25" s="126"/>
      <c r="O25" s="47"/>
      <c r="P25" s="124"/>
      <c r="Q25" s="124"/>
      <c r="R25" s="47"/>
      <c r="S25" s="125"/>
      <c r="T25" s="125"/>
      <c r="U25" s="125"/>
      <c r="V25" s="125"/>
    </row>
    <row r="26" spans="1:22" ht="36" customHeight="1" thickBot="1" x14ac:dyDescent="0.25">
      <c r="A26" s="31"/>
      <c r="B26" s="32" t="str">
        <f>'Control Entry'!N47</f>
        <v/>
      </c>
      <c r="C26" s="32" t="str">
        <f>'Control Entry'!O47</f>
        <v/>
      </c>
      <c r="D26" s="33"/>
      <c r="E26" s="34" t="str">
        <f>IF(ISBLANK('Control Entry'!H47),"",'Control Entry'!H47)</f>
        <v/>
      </c>
      <c r="F26" s="101" t="str">
        <f>IF(ISBLANK('Control Entry'!K34),"",'Control Entry'!K34)</f>
        <v/>
      </c>
      <c r="G26" s="100"/>
      <c r="H26" s="26" t="s">
        <v>63</v>
      </c>
    </row>
    <row r="27" spans="1:22" ht="36" customHeight="1" x14ac:dyDescent="0.2">
      <c r="A27" s="27"/>
      <c r="B27" s="28" t="str">
        <f>'Control Entry'!N48</f>
        <v/>
      </c>
      <c r="C27" s="28" t="str">
        <f>'Control Entry'!O48</f>
        <v/>
      </c>
      <c r="D27" s="35"/>
      <c r="E27" s="30" t="str">
        <f>IF(ISBLANK('Control Entry'!F48),"",'Control Entry'!F48)</f>
        <v/>
      </c>
      <c r="F27" s="96" t="str">
        <f>IF(ISBLANK('Control Entry'!I48),"",'Control Entry'!I48)</f>
        <v/>
      </c>
      <c r="G27" s="97"/>
      <c r="H27" s="26" t="s">
        <v>63</v>
      </c>
      <c r="K27" s="123" t="s">
        <v>88</v>
      </c>
      <c r="L27" s="124"/>
      <c r="M27" s="46" t="s">
        <v>89</v>
      </c>
      <c r="N27" s="124" t="s">
        <v>90</v>
      </c>
      <c r="O27" s="124"/>
      <c r="P27" s="124" t="s">
        <v>91</v>
      </c>
      <c r="Q27" s="124"/>
      <c r="R27" s="47" t="s">
        <v>92</v>
      </c>
      <c r="S27" s="125" t="s">
        <v>93</v>
      </c>
      <c r="T27" s="125"/>
      <c r="U27" s="125" t="s">
        <v>94</v>
      </c>
      <c r="V27" s="125"/>
    </row>
    <row r="28" spans="1:22" ht="36" customHeight="1" x14ac:dyDescent="0.2">
      <c r="A28" s="36" t="str">
        <f>IF(ISBLANK('Control Entry'!D48),"",'Control Entry'!D48)</f>
        <v/>
      </c>
      <c r="B28" s="37" t="str">
        <f>'Control Entry'!N48</f>
        <v/>
      </c>
      <c r="C28" s="37" t="str">
        <f>'Control Entry'!O48</f>
        <v/>
      </c>
      <c r="D28" s="38" t="str">
        <f>IF(ISBLANK('Control Entry'!E48),"",'Control Entry'!E48)</f>
        <v/>
      </c>
      <c r="E28" s="30" t="str">
        <f>IF(ISBLANK('Control Entry'!G48),"",'Control Entry'!G48)</f>
        <v/>
      </c>
      <c r="F28" s="96" t="str">
        <f>IF(ISBLANK('Control Entry'!J48),"",'Control Entry'!J48)</f>
        <v/>
      </c>
      <c r="G28" s="97"/>
      <c r="H28" s="26" t="s">
        <v>63</v>
      </c>
    </row>
    <row r="29" spans="1:22" ht="36" customHeight="1" thickBot="1" x14ac:dyDescent="0.25">
      <c r="A29" s="31"/>
      <c r="B29" s="32" t="str">
        <f>'Control Entry'!N48</f>
        <v/>
      </c>
      <c r="C29" s="32" t="str">
        <f>'Control Entry'!O48</f>
        <v/>
      </c>
      <c r="D29" s="33"/>
      <c r="E29" s="34" t="str">
        <f>IF(ISBLANK('Control Entry'!H48),"",'Control Entry'!H48)</f>
        <v/>
      </c>
      <c r="F29" s="101" t="str">
        <f>IF(ISBLANK('Control Entry'!K48),"",'Control Entry'!K48)</f>
        <v/>
      </c>
      <c r="G29" s="100"/>
      <c r="H29" s="26" t="s">
        <v>63</v>
      </c>
      <c r="M29" s="132" t="s">
        <v>95</v>
      </c>
      <c r="N29" s="132"/>
      <c r="O29" s="132"/>
      <c r="P29" s="132"/>
      <c r="Q29" s="132"/>
      <c r="R29" s="132"/>
      <c r="S29" s="132"/>
      <c r="T29" s="132"/>
      <c r="U29" s="51"/>
    </row>
    <row r="30" spans="1:22" ht="36" customHeight="1" x14ac:dyDescent="0.2">
      <c r="A30" s="27"/>
      <c r="B30" s="28" t="str">
        <f>'Control Entry'!N49</f>
        <v/>
      </c>
      <c r="C30" s="28" t="str">
        <f>'Control Entry'!O49</f>
        <v/>
      </c>
      <c r="D30" s="35"/>
      <c r="E30" s="30" t="str">
        <f>IF(ISBLANK('Control Entry'!F49),"",'Control Entry'!F49)</f>
        <v/>
      </c>
      <c r="F30" s="96" t="str">
        <f>IF(ISBLANK('Control Entry'!I49),"",'Control Entry'!I49)</f>
        <v/>
      </c>
      <c r="G30" s="97"/>
      <c r="H30" s="26" t="s">
        <v>63</v>
      </c>
      <c r="M30" s="16"/>
      <c r="N30" s="19"/>
      <c r="O30" s="19"/>
      <c r="P30" s="20"/>
      <c r="Q30" s="19"/>
      <c r="R30" s="19"/>
      <c r="S30" s="19"/>
      <c r="T30" s="20"/>
    </row>
    <row r="31" spans="1:22" ht="36" customHeight="1" x14ac:dyDescent="0.2">
      <c r="A31" s="36" t="str">
        <f>IF(ISBLANK('Control Entry'!D49),"",'Control Entry'!D49)</f>
        <v/>
      </c>
      <c r="B31" s="37" t="str">
        <f>'Control Entry'!N49</f>
        <v/>
      </c>
      <c r="C31" s="37" t="str">
        <f>'Control Entry'!O49</f>
        <v/>
      </c>
      <c r="D31" s="38" t="str">
        <f>IF(ISBLANK('Control Entry'!E49),"",'Control Entry'!E49)</f>
        <v/>
      </c>
      <c r="E31" s="30" t="str">
        <f>IF(ISBLANK('Control Entry'!G49),"",'Control Entry'!G49)</f>
        <v/>
      </c>
      <c r="F31" s="96" t="str">
        <f>IF(ISBLANK('Control Entry'!J49),"",'Control Entry'!J49)</f>
        <v/>
      </c>
      <c r="G31" s="97"/>
      <c r="H31" s="26" t="s">
        <v>63</v>
      </c>
      <c r="M31" s="17"/>
      <c r="P31" s="21"/>
      <c r="T31" s="21"/>
    </row>
    <row r="32" spans="1:22" ht="36" customHeight="1" thickBot="1" x14ac:dyDescent="0.25">
      <c r="A32" s="31"/>
      <c r="B32" s="32" t="str">
        <f>'Control Entry'!N49</f>
        <v/>
      </c>
      <c r="C32" s="32" t="str">
        <f>'Control Entry'!O49</f>
        <v/>
      </c>
      <c r="D32" s="33"/>
      <c r="E32" s="34" t="str">
        <f>IF(ISBLANK('Control Entry'!H49),"",'Control Entry'!H49)</f>
        <v/>
      </c>
      <c r="F32" s="101" t="str">
        <f>IF(ISBLANK('Control Entry'!K49),"",'Control Entry'!K49)</f>
        <v/>
      </c>
      <c r="G32" s="100"/>
      <c r="H32" s="26" t="s">
        <v>63</v>
      </c>
      <c r="M32" s="49"/>
      <c r="N32" s="18"/>
      <c r="O32" s="18"/>
      <c r="P32" s="22"/>
      <c r="Q32" s="18"/>
      <c r="R32" s="18"/>
      <c r="S32" s="18"/>
      <c r="T32" s="22"/>
    </row>
    <row r="33" spans="1:22" ht="36" customHeight="1" x14ac:dyDescent="0.2">
      <c r="A33" s="122" t="s">
        <v>96</v>
      </c>
      <c r="B33" s="122"/>
      <c r="C33" s="122"/>
      <c r="D33" s="122"/>
      <c r="E33" s="122"/>
      <c r="F33" s="122"/>
      <c r="G33" s="122"/>
      <c r="H33" s="39"/>
      <c r="I33" s="39"/>
      <c r="M33" s="133" t="s">
        <v>3</v>
      </c>
      <c r="N33" s="134"/>
      <c r="O33" s="134"/>
      <c r="P33" s="134"/>
      <c r="Q33" s="135">
        <f>'Control Entry'!B3</f>
        <v>44674</v>
      </c>
      <c r="R33" s="136"/>
      <c r="S33" s="136"/>
      <c r="T33" s="136"/>
      <c r="U33" s="93"/>
      <c r="V33" s="52"/>
    </row>
    <row r="34" spans="1:22" ht="36" customHeight="1" x14ac:dyDescent="0.2">
      <c r="A34"/>
      <c r="O34" s="15"/>
      <c r="P34" s="15"/>
      <c r="Q34" s="15"/>
      <c r="R34" s="44"/>
    </row>
    <row r="35" spans="1:22" ht="36" customHeight="1" x14ac:dyDescent="0.2">
      <c r="A35"/>
      <c r="N35" s="132"/>
      <c r="O35" s="132"/>
      <c r="P35" s="132"/>
      <c r="Q35" s="132"/>
      <c r="R35" s="132"/>
      <c r="S35" s="132"/>
      <c r="T35" s="132"/>
      <c r="U35" s="132"/>
    </row>
    <row r="36" spans="1:22" ht="36" customHeight="1" x14ac:dyDescent="0.15">
      <c r="A36"/>
    </row>
    <row r="37" spans="1:22" ht="36" customHeight="1" x14ac:dyDescent="0.15">
      <c r="A37"/>
    </row>
    <row r="38" spans="1:22" ht="36" customHeight="1" x14ac:dyDescent="0.2">
      <c r="A38"/>
      <c r="N38" s="15"/>
    </row>
    <row r="39" spans="1:22" ht="36" customHeight="1" x14ac:dyDescent="0.15">
      <c r="A39"/>
    </row>
    <row r="40" spans="1:22" ht="36" customHeight="1" x14ac:dyDescent="0.15">
      <c r="A40"/>
    </row>
  </sheetData>
  <sheetProtection algorithmName="SHA-512" hashValue="vS8Nfr8VGpVlu2phSomYuDllIMXKtgeLOce5QrncbaEzTT7A9k+2ah4UXLrWyIJaepcEXrAZLNH1gMQQx1XN4A==" saltValue="aFKfIqubodztTPz17uvu/Q==" spinCount="100000" sheet="1" objects="1" scenarios="1" formatCells="0" selectLockedCells="1"/>
  <mergeCells count="38">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S22:U22"/>
    <mergeCell ref="J24:N24"/>
    <mergeCell ref="S24:U24"/>
    <mergeCell ref="S11:U11"/>
    <mergeCell ref="L12:N12"/>
    <mergeCell ref="S12:U12"/>
    <mergeCell ref="L13:N13"/>
    <mergeCell ref="R13:U13"/>
  </mergeCells>
  <printOptions horizontalCentered="1" verticalCentered="1"/>
  <pageMargins left="0.2" right="0.2" top="0.2" bottom="0.2" header="0.51" footer="0.51"/>
  <pageSetup scale="44" orientation="landscape" horizontalDpi="4294967292" verticalDpi="4294967292"/>
  <ignoredErrors>
    <ignoredError sqref="L20" unlockedFormula="1"/>
  </ignoredError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29</vt:i4>
      </vt:variant>
    </vt:vector>
  </HeadingPairs>
  <TitlesOfParts>
    <vt:vector size="33" baseType="lpstr">
      <vt:lpstr>Control Entry</vt:lpstr>
      <vt:lpstr>Control Card #1</vt:lpstr>
      <vt:lpstr>Control Card #2</vt:lpstr>
      <vt:lpstr>Control Card #3</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'Control Card #3'!Print_Titles</vt:lpstr>
      <vt:lpstr>Start_date</vt:lpstr>
      <vt:lpstr>Start_time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Hinde</dc:creator>
  <cp:keywords/>
  <dc:description/>
  <cp:lastModifiedBy>Microsoft Office User</cp:lastModifiedBy>
  <cp:revision/>
  <dcterms:created xsi:type="dcterms:W3CDTF">2023-08-23T23:26:42Z</dcterms:created>
  <dcterms:modified xsi:type="dcterms:W3CDTF">2023-08-27T07:37:05Z</dcterms:modified>
  <cp:category/>
  <cp:contentStatus/>
</cp:coreProperties>
</file>