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autoCompressPictures="0"/>
  <bookViews>
    <workbookView xWindow="0" yWindow="0" windowWidth="12840" windowHeight="11120" tabRatio="509" firstSheet="2" activeTab="3"/>
  </bookViews>
  <sheets>
    <sheet name="Control Entry" sheetId="1" r:id="rId1"/>
    <sheet name="Control Sheet" sheetId="2" r:id="rId2"/>
    <sheet name="Riders" sheetId="7" r:id="rId3"/>
    <sheet name="VI402A 070812" sheetId="9" r:id="rId4"/>
    <sheet name="Web sheet" sheetId="13" r:id="rId5"/>
  </sheets>
  <definedNames>
    <definedName name="Address_1">Riders!$E$2</definedName>
    <definedName name="Address_2">Riders!$F$2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Riders!$G$2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Riders!$I$2</definedName>
    <definedName name="Distance">'Control Entry'!$D$10:$D$29</definedName>
    <definedName name="email">Riders!$N$2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ax">Riders!$M$2</definedName>
    <definedName name="First_Name">Riders!$C$2</definedName>
    <definedName name="Home_telephone">Riders!$K$2</definedName>
    <definedName name="HTML_CodePage" hidden="1">1252</definedName>
    <definedName name="HTML_Control" localSheetId="3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10_1" hidden="1">"'[VI0300B  Victoria--Duncan.xls]Web results'!$A$2:$D$10"</definedName>
    <definedName name="HTML10_10" hidden="1">""</definedName>
    <definedName name="HTML10_11" hidden="1">1</definedName>
    <definedName name="HTML10_12" hidden="1">"C:\My Documents\Web Page\300km_results.htm"</definedName>
    <definedName name="HTML10_2" hidden="1">1</definedName>
    <definedName name="HTML10_3" hidden="1">"VI0300B  Victoria--Duncan"</definedName>
    <definedName name="HTML10_4" hidden="1">"Web results"</definedName>
    <definedName name="HTML10_5" hidden="1">""</definedName>
    <definedName name="HTML10_6" hidden="1">-4146</definedName>
    <definedName name="HTML10_7" hidden="1">-4146</definedName>
    <definedName name="HTML10_8" hidden="1">"98-05-18"</definedName>
    <definedName name="HTML10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localSheetId="2" hidden="1">"'[VI0100B Nanaimo Populaire.xls]Web results'!$A$2:$D$30"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localSheetId="2" hidden="1">"C:\My Documents\Web Page\100km_results.htm"</definedName>
    <definedName name="HTML7_12" hidden="1">"C:\My Documents\Web Page\200km_route_sheet.htm"</definedName>
    <definedName name="HTML7_2" hidden="1">1</definedName>
    <definedName name="HTML7_3" localSheetId="2" hidden="1">"VI0100B Nanaimo Populaire"</definedName>
    <definedName name="HTML7_3" hidden="1">"VI0200A  Tour of Cowichan Valley"</definedName>
    <definedName name="HTML7_4" localSheetId="2" hidden="1">"Ride Results"</definedName>
    <definedName name="HTML7_4" hidden="1">"Vancouver Island 200 km Brevet"</definedName>
    <definedName name="HTML7_5" localSheetId="2" hidden="1">"Results from March 15th, 1998"</definedName>
    <definedName name="HTML7_5" hidden="1">""</definedName>
    <definedName name="HTML7_6" hidden="1">1</definedName>
    <definedName name="HTML7_7" hidden="1">1</definedName>
    <definedName name="HTML7_8" localSheetId="2" hidden="1">"98-03-26"</definedName>
    <definedName name="HTML7_8" hidden="1">"97-11-23"</definedName>
    <definedName name="HTML7_9" hidden="1">"Stephen Hinde"</definedName>
    <definedName name="HTML8_1" localSheetId="2" hidden="1">"'[VI0100B Nanaimo Populaire.xls]Web results'!$A$1:$J$17"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2" hidden="1">"C:\My Documents\Web Page\100km_results.htm"</definedName>
    <definedName name="HTML8_12" hidden="1">"C:\My Documents\Web Page\300km_route_sheet_duncan.htm"</definedName>
    <definedName name="HTML8_2" hidden="1">1</definedName>
    <definedName name="HTML8_3" localSheetId="2" hidden="1">"VI0100B Nanaimo Populaire results"</definedName>
    <definedName name="HTML8_3" hidden="1">"VI0300A  Duncan--Victoria"</definedName>
    <definedName name="HTML8_4" localSheetId="2" hidden="1">"Populaire results"</definedName>
    <definedName name="HTML8_4" hidden="1">"Web sheet"</definedName>
    <definedName name="HTML8_5" localSheetId="2" hidden="1">"100 km bicycle ride on 15th March, 1998.
Co-sponsored by the BC Randonneur Cycling Club and the Nanaimo Bicycle Club."</definedName>
    <definedName name="HTML8_5" hidden="1">""</definedName>
    <definedName name="HTML8_6" hidden="1">1</definedName>
    <definedName name="HTML8_7" hidden="1">1</definedName>
    <definedName name="HTML8_8" localSheetId="2" hidden="1">"98-03-26"</definedName>
    <definedName name="HTML8_8" hidden="1">"98-01-25"</definedName>
    <definedName name="HTML8_9" hidden="1">"Stephen Hinde"</definedName>
    <definedName name="HTML9_1" hidden="1">"'[VI0300B  Victoria--Duncan.xls]Web sheet'!$A$1:$E$161"</definedName>
    <definedName name="HTML9_10" hidden="1">"randos@island.net"</definedName>
    <definedName name="HTML9_11" hidden="1">1</definedName>
    <definedName name="HTML9_12" hidden="1">"C:\My Documents\Web Page\300km_route_sheet_victoria.htm"</definedName>
    <definedName name="HTML9_2" hidden="1">1</definedName>
    <definedName name="HTML9_3" hidden="1">"VI0300B  Victoria--Duncan"</definedName>
    <definedName name="HTML9_4" hidden="1">"Web sheet"</definedName>
    <definedName name="HTML9_5" hidden="1">""</definedName>
    <definedName name="HTML9_6" hidden="1">1</definedName>
    <definedName name="HTML9_7" hidden="1">1</definedName>
    <definedName name="HTML9_8" hidden="1">"98-01-29"</definedName>
    <definedName name="HTML9_9" hidden="1">"Stephen Hinde"</definedName>
    <definedName name="HTMLCount" localSheetId="2" hidden="1">8</definedName>
    <definedName name="HTMLCount" hidden="1">9</definedName>
    <definedName name="Initial">Riders!$D$2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Riders!$J$2</definedName>
    <definedName name="_xlnm.Print_Titles" localSheetId="1">'Control Sheet'!$1:$2</definedName>
    <definedName name="Province_State">Riders!$H$2</definedName>
    <definedName name="Start_date">'Control Entry'!$B$5</definedName>
    <definedName name="Start_time">'Control Entry'!$B$6</definedName>
    <definedName name="surname">Riders!$B$2</definedName>
    <definedName name="Work_telephone">Riders!$L$2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" i="1" l="1"/>
  <c r="B2" i="1"/>
  <c r="I10" i="1"/>
  <c r="J10" i="1"/>
  <c r="K10" i="1"/>
  <c r="L10" i="1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1" i="9"/>
  <c r="D11" i="1"/>
  <c r="I11" i="1"/>
  <c r="J11" i="1"/>
  <c r="K11" i="1"/>
  <c r="L11" i="1"/>
  <c r="F2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3" i="9"/>
  <c r="D12" i="1"/>
  <c r="I12" i="1"/>
  <c r="J12" i="1"/>
  <c r="K12" i="1"/>
  <c r="L12" i="1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A50" i="9"/>
  <c r="A52" i="9"/>
  <c r="D13" i="1"/>
  <c r="I13" i="1"/>
  <c r="J13" i="1"/>
  <c r="K13" i="1"/>
  <c r="L13" i="1"/>
  <c r="A55" i="9"/>
  <c r="A57" i="9"/>
  <c r="D14" i="1"/>
  <c r="I14" i="1"/>
  <c r="J14" i="1"/>
  <c r="K14" i="1"/>
  <c r="L14" i="1"/>
  <c r="A60" i="9"/>
  <c r="A61" i="9"/>
  <c r="A62" i="9"/>
  <c r="A63" i="9"/>
  <c r="A64" i="9"/>
  <c r="A65" i="9"/>
  <c r="A66" i="9"/>
  <c r="A67" i="9"/>
  <c r="A69" i="9"/>
  <c r="A70" i="9"/>
  <c r="A71" i="9"/>
  <c r="F50" i="9"/>
  <c r="F51" i="9"/>
  <c r="F52" i="9"/>
  <c r="F53" i="9"/>
  <c r="F54" i="9"/>
  <c r="F56" i="9"/>
  <c r="F57" i="9"/>
  <c r="F58" i="9"/>
  <c r="F59" i="9"/>
  <c r="F60" i="9"/>
  <c r="F62" i="9"/>
  <c r="F63" i="9"/>
  <c r="F64" i="9"/>
  <c r="F65" i="9"/>
  <c r="F66" i="9"/>
  <c r="F67" i="9"/>
  <c r="F68" i="9"/>
  <c r="F70" i="9"/>
  <c r="F71" i="9"/>
  <c r="A74" i="9"/>
  <c r="A75" i="9"/>
  <c r="A76" i="9"/>
  <c r="A77" i="9"/>
  <c r="A78" i="9"/>
  <c r="A79" i="9"/>
  <c r="A80" i="9"/>
  <c r="A81" i="9"/>
  <c r="A83" i="9"/>
  <c r="D15" i="1"/>
  <c r="I15" i="1"/>
  <c r="J15" i="1"/>
  <c r="K15" i="1"/>
  <c r="L15" i="1"/>
  <c r="A88" i="9"/>
  <c r="A89" i="9"/>
  <c r="A90" i="9"/>
  <c r="A91" i="9"/>
  <c r="A92" i="9"/>
  <c r="A93" i="9"/>
  <c r="A95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3" i="9"/>
  <c r="D16" i="1"/>
  <c r="I16" i="1"/>
  <c r="J16" i="1"/>
  <c r="K16" i="1"/>
  <c r="L16" i="1"/>
  <c r="I17" i="1"/>
  <c r="J17" i="1"/>
  <c r="K17" i="1"/>
  <c r="L17" i="1"/>
  <c r="I18" i="1"/>
  <c r="J18" i="1"/>
  <c r="K18" i="1"/>
  <c r="L18" i="1"/>
  <c r="I19" i="1"/>
  <c r="J19" i="1"/>
  <c r="K19" i="1"/>
  <c r="L19" i="1"/>
  <c r="I20" i="1"/>
  <c r="J20" i="1"/>
  <c r="K20" i="1"/>
  <c r="L20" i="1"/>
  <c r="I21" i="1"/>
  <c r="J21" i="1"/>
  <c r="K21" i="1"/>
  <c r="L21" i="1"/>
  <c r="I22" i="1"/>
  <c r="J22" i="1"/>
  <c r="K22" i="1"/>
  <c r="L22" i="1"/>
  <c r="I23" i="1"/>
  <c r="J23" i="1"/>
  <c r="K23" i="1"/>
  <c r="L23" i="1"/>
  <c r="I24" i="1"/>
  <c r="J24" i="1"/>
  <c r="K24" i="1"/>
  <c r="L24" i="1"/>
  <c r="I25" i="1"/>
  <c r="J25" i="1"/>
  <c r="K25" i="1"/>
  <c r="L25" i="1"/>
  <c r="I26" i="1"/>
  <c r="J26" i="1"/>
  <c r="K26" i="1"/>
  <c r="L26" i="1"/>
  <c r="I27" i="1"/>
  <c r="J27" i="1"/>
  <c r="K27" i="1"/>
  <c r="L27" i="1"/>
  <c r="I28" i="1"/>
  <c r="J28" i="1"/>
  <c r="K28" i="1"/>
  <c r="L28" i="1"/>
  <c r="I29" i="1"/>
  <c r="J29" i="1"/>
  <c r="K29" i="1"/>
  <c r="L29" i="1"/>
  <c r="B3" i="2"/>
  <c r="C3" i="2"/>
  <c r="E3" i="2"/>
  <c r="A4" i="2"/>
  <c r="C4" i="2"/>
  <c r="E4" i="2"/>
  <c r="B5" i="2"/>
  <c r="C5" i="2"/>
  <c r="E5" i="2"/>
  <c r="B6" i="2"/>
  <c r="C6" i="2"/>
  <c r="E6" i="2"/>
  <c r="A7" i="2"/>
  <c r="B7" i="2"/>
  <c r="C7" i="2"/>
  <c r="D7" i="2"/>
  <c r="B8" i="2"/>
  <c r="C8" i="2"/>
  <c r="E8" i="2"/>
  <c r="B9" i="2"/>
  <c r="C9" i="2"/>
  <c r="J9" i="2"/>
  <c r="A10" i="2"/>
  <c r="B10" i="2"/>
  <c r="C10" i="2"/>
  <c r="D10" i="2"/>
  <c r="E10" i="2"/>
  <c r="J10" i="2"/>
  <c r="B11" i="2"/>
  <c r="C11" i="2"/>
  <c r="B12" i="2"/>
  <c r="C12" i="2"/>
  <c r="E12" i="2"/>
  <c r="A13" i="2"/>
  <c r="B13" i="2"/>
  <c r="C13" i="2"/>
  <c r="D13" i="2"/>
  <c r="E13" i="2"/>
  <c r="B14" i="2"/>
  <c r="C14" i="2"/>
  <c r="E14" i="2"/>
  <c r="L14" i="2"/>
  <c r="B15" i="2"/>
  <c r="C15" i="2"/>
  <c r="E15" i="2"/>
  <c r="A16" i="2"/>
  <c r="B16" i="2"/>
  <c r="C16" i="2"/>
  <c r="D16" i="2"/>
  <c r="E16" i="2"/>
  <c r="B17" i="2"/>
  <c r="C17" i="2"/>
  <c r="E17" i="2"/>
  <c r="B18" i="2"/>
  <c r="C18" i="2"/>
  <c r="E18" i="2"/>
  <c r="A19" i="2"/>
  <c r="B19" i="2"/>
  <c r="C19" i="2"/>
  <c r="D19" i="2"/>
  <c r="E19" i="2"/>
  <c r="B20" i="2"/>
  <c r="C20" i="2"/>
  <c r="E20" i="2"/>
  <c r="B21" i="2"/>
  <c r="C21" i="2"/>
  <c r="E21" i="2"/>
  <c r="A22" i="2"/>
  <c r="B22" i="2"/>
  <c r="C22" i="2"/>
  <c r="D22" i="2"/>
  <c r="E22" i="2"/>
  <c r="B23" i="2"/>
  <c r="C23" i="2"/>
  <c r="E23" i="2"/>
  <c r="B24" i="2"/>
  <c r="C24" i="2"/>
  <c r="E24" i="2"/>
  <c r="A25" i="2"/>
  <c r="B25" i="2"/>
  <c r="C25" i="2"/>
  <c r="D25" i="2"/>
  <c r="E25" i="2"/>
  <c r="B26" i="2"/>
  <c r="C26" i="2"/>
  <c r="E26" i="2"/>
  <c r="B27" i="2"/>
  <c r="C27" i="2"/>
  <c r="E27" i="2"/>
  <c r="A28" i="2"/>
  <c r="B28" i="2"/>
  <c r="C28" i="2"/>
  <c r="D28" i="2"/>
  <c r="E28" i="2"/>
  <c r="B29" i="2"/>
  <c r="C29" i="2"/>
  <c r="E29" i="2"/>
  <c r="B30" i="2"/>
  <c r="C30" i="2"/>
  <c r="E30" i="2"/>
  <c r="A31" i="2"/>
  <c r="B31" i="2"/>
  <c r="C31" i="2"/>
  <c r="D31" i="2"/>
  <c r="E31" i="2"/>
  <c r="B32" i="2"/>
  <c r="C32" i="2"/>
  <c r="E32" i="2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1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2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4" i="13"/>
  <c r="A97" i="13"/>
  <c r="A99" i="13"/>
  <c r="A103" i="13"/>
  <c r="A104" i="13"/>
  <c r="A105" i="13"/>
  <c r="A106" i="13"/>
  <c r="A107" i="13"/>
  <c r="A108" i="13"/>
  <c r="A109" i="13"/>
  <c r="A110" i="13"/>
  <c r="A112" i="13"/>
  <c r="A113" i="13"/>
  <c r="A114" i="13"/>
  <c r="A115" i="13"/>
  <c r="A116" i="13"/>
  <c r="A117" i="13"/>
  <c r="A118" i="13"/>
  <c r="A119" i="13"/>
  <c r="A121" i="13"/>
  <c r="A122" i="13"/>
  <c r="A123" i="13"/>
  <c r="A124" i="13"/>
  <c r="A125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5" i="13"/>
  <c r="A149" i="13"/>
  <c r="A150" i="13"/>
  <c r="A151" i="13"/>
  <c r="A152" i="13"/>
  <c r="A153" i="13"/>
  <c r="A154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3" i="13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<sst xmlns="http://schemas.openxmlformats.org/spreadsheetml/2006/main" count="791" uniqueCount="304">
  <si>
    <t>TRANS CANADA (Hwy #1)</t>
  </si>
  <si>
    <t>KOKSILAH (no sign) (@ Stop)</t>
  </si>
  <si>
    <t xml:space="preserve">R </t>
  </si>
  <si>
    <t>LAKESIDE</t>
  </si>
  <si>
    <t>cross Hillbank (@ 4-way stop)</t>
  </si>
  <si>
    <t>to Hwy #1 (@ stop)</t>
  </si>
  <si>
    <t>top hill -- over RR tracks -- left bend</t>
  </si>
  <si>
    <t>TRANS CANADA (@ lights)</t>
  </si>
  <si>
    <t>CEDAR (@ Gas N Go/Chuckwagon)</t>
  </si>
  <si>
    <t>cross Cowichan Valley Hwy (18)</t>
  </si>
  <si>
    <t>ISLAND HWY (19A)(@ Stop) (North)</t>
  </si>
  <si>
    <t>pass Cedar Road junction on right</t>
  </si>
  <si>
    <t>MACHLEARY</t>
  </si>
  <si>
    <t>TRANS CANADA (@ light @ Tempo)</t>
  </si>
  <si>
    <t>WENTWORTH (first right)</t>
  </si>
  <si>
    <t>WALL (@ lights)</t>
  </si>
  <si>
    <t>WALDBANK (@ stop)</t>
  </si>
  <si>
    <t>DICKINSON (@ lights)</t>
  </si>
  <si>
    <t>DOLPHIN (left bend @ 2nd Andover)</t>
  </si>
  <si>
    <t>COWICHAN LAKE (@ roundabout)</t>
  </si>
  <si>
    <t>BRUCE (@ stop)</t>
  </si>
  <si>
    <t>LANTZVILLE (@ stop)</t>
  </si>
  <si>
    <t>SIXTH (no choice)</t>
  </si>
  <si>
    <t>MACMILLAN (@ 3-way stop)</t>
  </si>
  <si>
    <t>HOLDEN-CORSO (@ Esso)</t>
  </si>
  <si>
    <t>YELLOW POINT (@ stop)</t>
  </si>
  <si>
    <t>CEDAR (@ Husky)</t>
  </si>
  <si>
    <t>FINISH -- Tim Horton's -- Mill Bay</t>
  </si>
  <si>
    <t>HWY 19 (@ stop)</t>
  </si>
  <si>
    <t>825 Deloume Rd. Mill Bay</t>
  </si>
  <si>
    <t>South through parking lot</t>
  </si>
  <si>
    <t>ROUTE 1 (@ lights)</t>
  </si>
  <si>
    <t>TZOUHALEM (@ lawn tennis club)</t>
  </si>
  <si>
    <t>MEMORIAL (@ stop)(to Qualicum)</t>
  </si>
  <si>
    <t>(@ Gatacre)</t>
  </si>
  <si>
    <t xml:space="preserve">TRANSFER BEACH </t>
  </si>
  <si>
    <t>ALBERNI HWY (4A) (@ stop)</t>
  </si>
  <si>
    <t>MAPLE BAY (@ roundabout)</t>
  </si>
  <si>
    <t>RICHARDS TRAIL (to Pastula Farms)</t>
  </si>
  <si>
    <t>Mt. SICKER (@ "To Hwy 1" sign)</t>
  </si>
  <si>
    <t>BELLVUE @ Allsbrook Centre)</t>
  </si>
  <si>
    <t>RUFFELS (@ no through)</t>
  </si>
  <si>
    <t>Randonneur Committee Authorization</t>
  </si>
  <si>
    <r>
      <t>OYSTER BAY (</t>
    </r>
    <r>
      <rPr>
        <sz val="12"/>
        <color indexed="10"/>
        <rFont val="Arial"/>
      </rPr>
      <t>bumpy!</t>
    </r>
    <r>
      <rPr>
        <sz val="12"/>
        <rFont val="Arial"/>
        <family val="2"/>
      </rPr>
      <t>)</t>
    </r>
  </si>
  <si>
    <r>
      <t xml:space="preserve">HERD (to Crofton; </t>
    </r>
    <r>
      <rPr>
        <sz val="12"/>
        <color indexed="10"/>
        <rFont val="Arial"/>
      </rPr>
      <t>not down to sea</t>
    </r>
    <r>
      <rPr>
        <sz val="12"/>
        <rFont val="Arial"/>
        <family val="2"/>
      </rPr>
      <t>)</t>
    </r>
  </si>
  <si>
    <r>
      <t>cross 2 lanes (</t>
    </r>
    <r>
      <rPr>
        <sz val="12"/>
        <color indexed="10"/>
        <rFont val="Arial"/>
      </rPr>
      <t>CAUTION!</t>
    </r>
    <r>
      <rPr>
        <sz val="12"/>
        <rFont val="Arial"/>
        <family val="2"/>
      </rPr>
      <t>)</t>
    </r>
  </si>
  <si>
    <t>GRAFTON (@ 4-way stop)</t>
  </si>
  <si>
    <t>PRATT (@ no exit)</t>
  </si>
  <si>
    <t>Cross Alberni Hwy (@ stop)</t>
  </si>
  <si>
    <t>JONES (@ stop)</t>
  </si>
  <si>
    <t>over RR tracks -- bear left</t>
  </si>
  <si>
    <t>VANDENOUK (@ left bend)</t>
  </si>
  <si>
    <t>cross over Nanaimo Parkway</t>
  </si>
  <si>
    <t>HARMAC (after bridge)</t>
  </si>
  <si>
    <t>WOOBANK (@ Powder Coaters)</t>
  </si>
  <si>
    <t xml:space="preserve">COWICHAN LAKE </t>
  </si>
  <si>
    <t>SOMENOS (To Goldfish Farm)</t>
  </si>
  <si>
    <t>cross Cowichan Valley Hwy</t>
  </si>
  <si>
    <t>GOVERNMENT (near Esso)</t>
  </si>
  <si>
    <t>HWY #1 to Nanaimo (@ lights)</t>
  </si>
  <si>
    <t>FIRST (LUDLOW) (@ lights)</t>
  </si>
  <si>
    <t>INDUSTRIAL WAY</t>
  </si>
  <si>
    <t>FRANKLIN'S GULL</t>
  </si>
  <si>
    <t>cross Hwy 19A (@ lights)</t>
  </si>
  <si>
    <t>ALLENBY (@ 4-way) (after bridge)</t>
  </si>
  <si>
    <t>NORTHWEST BAY (@ stop)</t>
  </si>
  <si>
    <t>ISLAND HWY (19A) (South @ lights)</t>
  </si>
  <si>
    <t>HWY #1 @ Deloume, Mill Bay</t>
  </si>
  <si>
    <t xml:space="preserve">START-- Tim Horton's </t>
  </si>
  <si>
    <t>MILL BAY</t>
  </si>
  <si>
    <t>Tim Horton's</t>
  </si>
  <si>
    <t xml:space="preserve"> Deloume @ Hwy #1</t>
  </si>
  <si>
    <t>Subway</t>
  </si>
  <si>
    <t>SHAWNIGAN LAKE (@ school)</t>
  </si>
  <si>
    <t>McVICKERS N (@ QF)</t>
  </si>
  <si>
    <t xml:space="preserve">McVICKERS </t>
  </si>
  <si>
    <t>DESPARD (@ lights)</t>
  </si>
  <si>
    <t>HAMMOND BAY (@lights)</t>
  </si>
  <si>
    <t>cross HWY 19A (@ lights)</t>
  </si>
  <si>
    <t>ALBERNI HWY (4A) (@ lights)</t>
  </si>
  <si>
    <t>WAKESIAH @lights)</t>
  </si>
  <si>
    <t>TRANSCANADA (@ lights)</t>
  </si>
  <si>
    <t>CEDAR (@ lights)</t>
  </si>
  <si>
    <t>HWY #1 (@ lights)</t>
  </si>
  <si>
    <t>COBBLE HILL (@ lights)</t>
  </si>
  <si>
    <t>PINE (@ lights)</t>
  </si>
  <si>
    <t>FRANKLIN'S GULL (no choice)</t>
  </si>
  <si>
    <t>ALBERNI HWY (4A)</t>
  </si>
  <si>
    <t>LEFFLER (no choice)</t>
  </si>
  <si>
    <t>VANHORNE (first left)</t>
  </si>
  <si>
    <t>HILLIERS</t>
  </si>
  <si>
    <t>MEMORIAL (to Qualicum)</t>
  </si>
  <si>
    <t>HWY 19A (into Parksville)</t>
  </si>
  <si>
    <t>BUCKLEY BAY</t>
  </si>
  <si>
    <t>ISLAND HWY (19A) (South)</t>
  </si>
  <si>
    <t>PARKSVILLE</t>
  </si>
  <si>
    <t>CAPILANO (@ Pedestrian overpass)</t>
  </si>
  <si>
    <t>PHILLIP (@ right bend)</t>
  </si>
  <si>
    <t>JINGLE POT</t>
  </si>
  <si>
    <t>THIRD</t>
  </si>
  <si>
    <t>DOVER (@McGirr)</t>
  </si>
  <si>
    <t>CAMERON-TAGGART (to winery)</t>
  </si>
  <si>
    <t>TRANS-CANADA (Hwy #1) (@ lights)</t>
  </si>
  <si>
    <t>490 Island Hwy, Parksville</t>
  </si>
  <si>
    <t xml:space="preserve">Nanoose Bay, 3521 Dolphin Dr., </t>
  </si>
  <si>
    <t>LUDLOW (@ stop)</t>
  </si>
  <si>
    <t>SOUTH FORK</t>
  </si>
  <si>
    <t>MACHLEARY (@ stop)</t>
  </si>
  <si>
    <t>HWY 19 (@ yield)</t>
  </si>
  <si>
    <t>FAIRWINDS (@ 4-way stop)</t>
  </si>
  <si>
    <t>NORTHWEST BAY (@ yield)</t>
  </si>
  <si>
    <t>KOKSILAH (first right)</t>
  </si>
  <si>
    <t>ISLAND HWY (South) (@ lights)</t>
  </si>
  <si>
    <t>STEWART (left curve)</t>
  </si>
  <si>
    <t>Buckley Bay</t>
  </si>
  <si>
    <t>Control #3 -- Store/Petrocan</t>
  </si>
  <si>
    <t>Control #4 -- Tim Horton's</t>
  </si>
  <si>
    <t>Parksville</t>
  </si>
  <si>
    <t>ISLAND HWY (19A) (@ Stop)</t>
  </si>
  <si>
    <t>490 Island Hwy</t>
  </si>
  <si>
    <t>WESTWIND (right bend - no choice)</t>
  </si>
  <si>
    <t>r - 1/2 hr - route violation</t>
  </si>
  <si>
    <t>e - rode early</t>
  </si>
  <si>
    <t>PIONEER (1st R after bridge) (no sign)</t>
  </si>
  <si>
    <t>DESPARD</t>
  </si>
  <si>
    <t>BELLVUE @ Petmania)</t>
  </si>
  <si>
    <t>NORTHWIND (@ Stop)</t>
  </si>
  <si>
    <t>SUPERIOR (@ T) (hidden sign)</t>
  </si>
  <si>
    <t>HARBY (no choice)</t>
  </si>
  <si>
    <t>AULDS (@ Stop)</t>
  </si>
  <si>
    <t>AULDS (first right))</t>
  </si>
  <si>
    <t>cross over HWY 19</t>
  </si>
  <si>
    <t>AULDS</t>
  </si>
  <si>
    <t>METRAL (@ light)</t>
  </si>
  <si>
    <t>Control # 5 -- 7-11</t>
  </si>
  <si>
    <t>435 Esplanade (Hwy #1)</t>
  </si>
  <si>
    <t>Ladysmith</t>
  </si>
  <si>
    <t>BR</t>
  </si>
  <si>
    <t>Mt. SICKER</t>
  </si>
  <si>
    <t>SOMENOS</t>
  </si>
  <si>
    <t>KOKSILAH (@ Stop)</t>
  </si>
  <si>
    <t>HWY #1</t>
  </si>
  <si>
    <t>DELOUME</t>
  </si>
  <si>
    <t>SCHOONER COVE</t>
  </si>
  <si>
    <t>7-11</t>
  </si>
  <si>
    <t>Petrocan/Store/</t>
  </si>
  <si>
    <t>CHEMAINUS (@ light)</t>
  </si>
  <si>
    <t>ALLENBY (@ light)</t>
  </si>
  <si>
    <t>CEDAR (pass Yellow Point on left)</t>
  </si>
  <si>
    <t>COWICHAN Stn. (after RR bridge)</t>
  </si>
  <si>
    <t>NANAIMO RIVER (over RR tracks)</t>
  </si>
  <si>
    <t>NANAIMO RIVER (off ramp) (Fry Rd.)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</si>
  <si>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</si>
  <si>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</si>
  <si>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</si>
  <si>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</si>
  <si>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</si>
  <si>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</si>
  <si>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</si>
  <si>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</si>
  <si>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VI402A</t>
  </si>
  <si>
    <t>DOUMONT (to Pleasant Valley)</t>
  </si>
  <si>
    <t>BIGGS (T @ Weigles)</t>
  </si>
  <si>
    <t>JINGLE POT (@ stop)</t>
  </si>
  <si>
    <t>COWICHAN BAY (@ stop)</t>
  </si>
  <si>
    <t>MAPLE BAY (@ Yield) (St. Edwards)</t>
  </si>
  <si>
    <t>WESTHOLME (@Stop) (no sign)</t>
  </si>
  <si>
    <t>CHEMAINUS (@ Mt. Sicker)</t>
  </si>
  <si>
    <t>HWY #1 (on ramp) (north)</t>
  </si>
  <si>
    <t>HAREWOOD (@ 4-way stop)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</si>
  <si>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</si>
  <si>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</si>
  <si>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</si>
  <si>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</si>
  <si>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</si>
  <si>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</si>
  <si>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</si>
  <si>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</si>
  <si>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|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</si>
  <si>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</si>
  <si>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</si>
  <si>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</si>
  <si>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</si>
  <si>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</si>
  <si>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</si>
  <si>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</si>
  <si>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</si>
  <si>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</si>
  <si>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</si>
  <si>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</si>
  <si>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HERD (to Crofton; not down to water)</t>
  </si>
  <si>
    <t>KILMALU (first right)</t>
  </si>
  <si>
    <t>TELEGRAPH (first left)</t>
  </si>
  <si>
    <t>CHERRY POINT (to Winery)</t>
  </si>
  <si>
    <t>CHEMAINUS (continue north)</t>
  </si>
  <si>
    <t>SOUTH FORKS (to Gogo's Mill)</t>
  </si>
  <si>
    <t>POWDER POINT (after RR tracks)</t>
  </si>
  <si>
    <t>PIONEER (after bridge) (no sign)</t>
  </si>
  <si>
    <t>CORFIELD (@ 4-way stop)</t>
  </si>
  <si>
    <t>STANFORD (@ 4-way stop)</t>
  </si>
  <si>
    <t>d - rode late</t>
  </si>
  <si>
    <t>Notes</t>
  </si>
  <si>
    <t>Mill Bay</t>
  </si>
  <si>
    <t>Frontage road to Deloume</t>
  </si>
  <si>
    <t>ISLAND HWY (@ lights)</t>
  </si>
  <si>
    <t>BL</t>
  </si>
  <si>
    <t>CHERRY POINT (@ Fairbanks)</t>
  </si>
  <si>
    <t>CO</t>
  </si>
  <si>
    <t>RICHARDS (to Pastula Farms)</t>
  </si>
  <si>
    <t>CHEMAINUS (@ roundabout)</t>
  </si>
  <si>
    <t>Chemainus</t>
  </si>
  <si>
    <t>CONTROL #1 -- Subway</t>
  </si>
  <si>
    <t>9734 Chemainus (@ Mill)</t>
  </si>
  <si>
    <t>CHEMAINUS</t>
  </si>
  <si>
    <t>KILMALU</t>
  </si>
  <si>
    <t>NORTHWEST BAY (@ Petrocan)</t>
  </si>
  <si>
    <t>LADYSMITH</t>
  </si>
  <si>
    <t>SO</t>
  </si>
  <si>
    <t>NANAIMO LAKES</t>
  </si>
  <si>
    <t>TENTH</t>
  </si>
  <si>
    <t>QUENNELL (@ Cedar Hall)</t>
  </si>
  <si>
    <t>Brevet No.</t>
  </si>
  <si>
    <t>Surname</t>
  </si>
  <si>
    <t>First Name</t>
  </si>
  <si>
    <t>Initial</t>
  </si>
  <si>
    <t>Address 1</t>
  </si>
  <si>
    <t>Address 2</t>
  </si>
  <si>
    <t>Home telephone</t>
  </si>
  <si>
    <t>Work telephone</t>
  </si>
  <si>
    <t>Fax</t>
  </si>
  <si>
    <t>Finish Time</t>
  </si>
  <si>
    <t>Rand Memb</t>
  </si>
  <si>
    <t>Pin</t>
  </si>
  <si>
    <t>l - 1/2 hr - no lights</t>
  </si>
  <si>
    <t>f - 1/2 hr - no fenders</t>
  </si>
  <si>
    <t>Turn</t>
  </si>
  <si>
    <t>R</t>
  </si>
  <si>
    <t>L</t>
  </si>
  <si>
    <t>!!! CONGRATULATIONS !!!</t>
  </si>
  <si>
    <t>At  km</t>
  </si>
  <si>
    <t>onto  ROUTE</t>
  </si>
  <si>
    <t xml:space="preserve"> then   Go km</t>
  </si>
  <si>
    <t>LAKESIDE (to Blue Grouse)</t>
  </si>
  <si>
    <t>HWY #1 (@ stop)</t>
  </si>
  <si>
    <t xml:space="preserve">CAMERON-TAGGART </t>
  </si>
  <si>
    <t>SHAWNIGAN-MILL BAY (@ Stop)</t>
  </si>
  <si>
    <t>Locale</t>
  </si>
  <si>
    <t>Establishment 1</t>
  </si>
  <si>
    <t>Establishment 2</t>
  </si>
  <si>
    <t>Establishment 3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</si>
  <si>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</si>
  <si>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</si>
  <si>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</si>
  <si>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</si>
  <si>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</si>
  <si>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</si>
  <si>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</si>
  <si>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</si>
  <si>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</si>
  <si>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</si>
  <si>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</si>
  <si>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</si>
  <si>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SECRET</t>
  </si>
  <si>
    <t>Control 9</t>
  </si>
  <si>
    <t>Control 10</t>
  </si>
  <si>
    <t>Control 11</t>
  </si>
  <si>
    <t>Control 12</t>
  </si>
  <si>
    <t>Control 13</t>
  </si>
  <si>
    <t>Chemainus @ Mill</t>
  </si>
  <si>
    <t>Mill Bay--Buckley Bay "Back Road" 400</t>
  </si>
  <si>
    <t>Deloume @ Hwy #1</t>
  </si>
  <si>
    <t>BRADLEY (@T)</t>
  </si>
  <si>
    <t>MILLSTONE (no choice)</t>
  </si>
  <si>
    <t>St. GEORGE (@Stop)</t>
  </si>
  <si>
    <t>Cross Terminal (Hwy 19A)</t>
  </si>
  <si>
    <t>PRINCESS ROYAL</t>
  </si>
  <si>
    <t>ESTEVAN (follow main road)</t>
  </si>
  <si>
    <t>DEPARTURE BAY (@Stop)</t>
  </si>
  <si>
    <t>BRICKYARD (@clinic)</t>
  </si>
  <si>
    <t>NORTHWEST BAY</t>
  </si>
  <si>
    <t>Telephone</t>
  </si>
  <si>
    <t>email</t>
  </si>
  <si>
    <t>Under the sanction of Cycling BC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</si>
  <si>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</si>
  <si>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</si>
  <si>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</si>
  <si>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</si>
  <si>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</si>
  <si>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</si>
  <si>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</si>
  <si>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FAIRWINDS (@Stop)</t>
  </si>
  <si>
    <t>ROCKY CREEK</t>
  </si>
  <si>
    <t>Stop sign</t>
  </si>
  <si>
    <t xml:space="preserve">CONTROL #2-- </t>
  </si>
  <si>
    <t>Dockside Café</t>
  </si>
  <si>
    <t>Nanoose Bay</t>
  </si>
  <si>
    <t>DOLPHIN</t>
  </si>
  <si>
    <t>DAVENHAM</t>
  </si>
  <si>
    <t>(STAFFED)</t>
  </si>
  <si>
    <t>VI400B</t>
  </si>
  <si>
    <t>In case of abandonment, call Dave Campbell cell: (250) 889-5036</t>
  </si>
  <si>
    <t>Schooner Cove, Nanoose Bay</t>
  </si>
  <si>
    <t>Schooner Cove,</t>
  </si>
  <si>
    <t>STAFFED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</si>
</sst>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m/yy\ hh:mm\ AM/PM"/>
    <numFmt numFmtId="165" formatCode="d/mmm/yy"/>
    <numFmt numFmtId="166" formatCode="dddd"/>
    <numFmt numFmtId="167" formatCode="0.0"/>
    <numFmt numFmtId="168" formatCode="mmmm\ d\,\ yyyy"/>
    <numFmt numFmtId="169" formatCode="[&lt;=9999999]###\-####;\(###\)\ ###\-####"/>
  </numFmts>
  <fonts count="23" x14ac:knownFonts="1">
    <font>
      <sz val="10"/>
      <name val="Arial"/>
    </font>
    <font>
      <b/>
      <sz val="10"/>
      <name val="Arial"/>
    </font>
    <font>
      <i/>
      <sz val="12"/>
      <name val="Arial"/>
      <family val="2"/>
    </font>
    <font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b/>
      <sz val="10"/>
      <name val="Arial"/>
    </font>
    <font>
      <sz val="10"/>
      <name val="Arial"/>
    </font>
    <font>
      <sz val="18"/>
      <name val="Arial"/>
      <family val="2"/>
    </font>
    <font>
      <sz val="8"/>
      <color indexed="81"/>
      <name val="Tahoma"/>
    </font>
    <font>
      <sz val="14"/>
      <name val="Arial Narrow"/>
      <family val="2"/>
    </font>
    <font>
      <b/>
      <sz val="14"/>
      <name val="Arial Narrow"/>
      <family val="2"/>
    </font>
    <font>
      <sz val="8"/>
      <name val="Arial"/>
    </font>
    <font>
      <u/>
      <sz val="10"/>
      <color indexed="12"/>
      <name val="Arial"/>
    </font>
    <font>
      <sz val="10"/>
      <color indexed="56"/>
      <name val="Arial"/>
    </font>
    <font>
      <b/>
      <sz val="12"/>
      <name val="Arial"/>
      <family val="2"/>
    </font>
    <font>
      <sz val="12"/>
      <color indexed="10"/>
      <name val="Arial"/>
    </font>
    <font>
      <sz val="12"/>
      <color indexed="56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49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/>
    <xf numFmtId="0" fontId="4" fillId="0" borderId="0" xfId="0" applyFont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0" fillId="0" borderId="11" xfId="0" applyBorder="1" applyProtection="1">
      <protection locked="0"/>
    </xf>
    <xf numFmtId="0" fontId="0" fillId="2" borderId="9" xfId="0" applyFill="1" applyBorder="1" applyAlignment="1">
      <alignment horizontal="right"/>
    </xf>
    <xf numFmtId="20" fontId="0" fillId="0" borderId="10" xfId="0" applyNumberFormat="1" applyBorder="1" applyProtection="1">
      <protection locked="0"/>
    </xf>
    <xf numFmtId="0" fontId="0" fillId="2" borderId="12" xfId="0" applyFill="1" applyBorder="1" applyAlignment="1">
      <alignment horizontal="right"/>
    </xf>
    <xf numFmtId="0" fontId="0" fillId="0" borderId="13" xfId="0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2" borderId="15" xfId="0" applyFill="1" applyBorder="1"/>
    <xf numFmtId="15" fontId="0" fillId="0" borderId="15" xfId="0" applyNumberForma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/>
    <xf numFmtId="0" fontId="8" fillId="0" borderId="0" xfId="0" applyFont="1" applyAlignment="1">
      <alignment horizontal="centerContinuous" vertical="justify" wrapText="1"/>
    </xf>
    <xf numFmtId="0" fontId="4" fillId="0" borderId="0" xfId="0" applyFont="1" applyAlignment="1">
      <alignment horizontal="centerContinuous" vertical="justify" wrapText="1"/>
    </xf>
    <xf numFmtId="0" fontId="9" fillId="0" borderId="0" xfId="0" applyFont="1" applyAlignment="1">
      <alignment horizontal="centerContinuous" vertical="justify"/>
    </xf>
    <xf numFmtId="0" fontId="8" fillId="0" borderId="0" xfId="0" applyFont="1" applyAlignment="1">
      <alignment horizontal="centerContinuous" vertical="center" wrapText="1"/>
    </xf>
    <xf numFmtId="0" fontId="8" fillId="0" borderId="0" xfId="0" applyFont="1" applyAlignment="1">
      <alignment horizontal="centerContinuous" vertical="center"/>
    </xf>
    <xf numFmtId="0" fontId="0" fillId="0" borderId="17" xfId="0" applyBorder="1"/>
    <xf numFmtId="0" fontId="5" fillId="0" borderId="0" xfId="0" applyFont="1" applyAlignment="1">
      <alignment horizontal="centerContinuous" vertical="center" wrapText="1"/>
    </xf>
    <xf numFmtId="168" fontId="8" fillId="0" borderId="17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18" xfId="0" applyBorder="1"/>
    <xf numFmtId="0" fontId="0" fillId="0" borderId="19" xfId="0" applyBorder="1"/>
    <xf numFmtId="0" fontId="3" fillId="0" borderId="0" xfId="0" applyFont="1" applyAlignment="1">
      <alignment horizontal="centerContinuous" wrapText="1"/>
    </xf>
    <xf numFmtId="0" fontId="0" fillId="0" borderId="20" xfId="0" applyBorder="1"/>
    <xf numFmtId="0" fontId="8" fillId="0" borderId="17" xfId="0" applyFont="1" applyBorder="1" applyProtection="1">
      <protection locked="0"/>
    </xf>
    <xf numFmtId="0" fontId="0" fillId="0" borderId="17" xfId="0" applyBorder="1" applyProtection="1">
      <protection locked="0"/>
    </xf>
    <xf numFmtId="0" fontId="8" fillId="0" borderId="17" xfId="0" applyFont="1" applyBorder="1" applyAlignment="1" applyProtection="1">
      <alignment horizontal="centerContinuous"/>
      <protection locked="0"/>
    </xf>
    <xf numFmtId="0" fontId="8" fillId="0" borderId="17" xfId="0" applyFont="1" applyBorder="1" applyAlignment="1" applyProtection="1">
      <alignment horizontal="centerContinuous"/>
    </xf>
    <xf numFmtId="0" fontId="8" fillId="0" borderId="17" xfId="0" applyFont="1" applyBorder="1" applyProtection="1"/>
    <xf numFmtId="0" fontId="8" fillId="0" borderId="0" xfId="0" applyFont="1" applyProtection="1"/>
    <xf numFmtId="0" fontId="0" fillId="0" borderId="0" xfId="0" applyProtection="1"/>
    <xf numFmtId="0" fontId="0" fillId="0" borderId="17" xfId="0" applyBorder="1" applyProtection="1"/>
    <xf numFmtId="0" fontId="5" fillId="0" borderId="0" xfId="0" applyFont="1" applyAlignment="1" applyProtection="1">
      <alignment horizontal="centerContinuous" vertical="center" wrapText="1"/>
    </xf>
    <xf numFmtId="20" fontId="5" fillId="0" borderId="0" xfId="0" applyNumberFormat="1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17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1" xfId="0" applyBorder="1" applyProtection="1"/>
    <xf numFmtId="0" fontId="0" fillId="0" borderId="22" xfId="0" applyBorder="1" applyProtection="1"/>
    <xf numFmtId="0" fontId="0" fillId="0" borderId="18" xfId="0" applyBorder="1" applyProtection="1"/>
    <xf numFmtId="0" fontId="0" fillId="0" borderId="0" xfId="0" applyBorder="1" applyProtection="1"/>
    <xf numFmtId="0" fontId="0" fillId="0" borderId="8" xfId="0" applyBorder="1" applyProtection="1"/>
    <xf numFmtId="0" fontId="0" fillId="0" borderId="20" xfId="0" applyBorder="1" applyProtection="1"/>
    <xf numFmtId="0" fontId="0" fillId="0" borderId="10" xfId="0" applyBorder="1" applyProtection="1"/>
    <xf numFmtId="0" fontId="0" fillId="0" borderId="19" xfId="0" applyBorder="1" applyProtection="1"/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5" xfId="0" applyNumberFormat="1" applyBorder="1" applyProtection="1"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167" fontId="0" fillId="0" borderId="23" xfId="0" applyNumberFormat="1" applyBorder="1" applyAlignment="1">
      <alignment horizontal="right"/>
    </xf>
    <xf numFmtId="0" fontId="0" fillId="0" borderId="24" xfId="0" applyBorder="1"/>
    <xf numFmtId="167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25" xfId="0" applyNumberFormat="1" applyBorder="1" applyAlignment="1">
      <alignment horizontal="center"/>
    </xf>
    <xf numFmtId="49" fontId="0" fillId="0" borderId="25" xfId="0" applyNumberFormat="1" applyBorder="1" applyAlignment="1">
      <alignment horizontal="left"/>
    </xf>
    <xf numFmtId="167" fontId="0" fillId="0" borderId="26" xfId="0" applyNumberFormat="1" applyBorder="1" applyAlignment="1">
      <alignment horizontal="right"/>
    </xf>
    <xf numFmtId="49" fontId="0" fillId="0" borderId="27" xfId="0" applyNumberFormat="1" applyBorder="1" applyAlignment="1">
      <alignment horizontal="center"/>
    </xf>
    <xf numFmtId="49" fontId="0" fillId="0" borderId="27" xfId="0" applyNumberFormat="1" applyBorder="1" applyAlignment="1">
      <alignment horizontal="left"/>
    </xf>
    <xf numFmtId="169" fontId="10" fillId="2" borderId="7" xfId="0" applyNumberFormat="1" applyFont="1" applyFill="1" applyBorder="1"/>
    <xf numFmtId="169" fontId="10" fillId="2" borderId="7" xfId="0" applyNumberFormat="1" applyFont="1" applyFill="1" applyBorder="1" applyAlignment="1">
      <alignment horizontal="center"/>
    </xf>
    <xf numFmtId="169" fontId="0" fillId="0" borderId="0" xfId="0" applyNumberFormat="1"/>
    <xf numFmtId="169" fontId="8" fillId="0" borderId="17" xfId="0" applyNumberFormat="1" applyFont="1" applyBorder="1" applyAlignment="1" applyProtection="1">
      <alignment horizontal="centerContinuous"/>
    </xf>
    <xf numFmtId="167" fontId="0" fillId="0" borderId="28" xfId="0" applyNumberFormat="1" applyBorder="1" applyProtection="1">
      <protection locked="0"/>
    </xf>
    <xf numFmtId="167" fontId="0" fillId="0" borderId="29" xfId="0" applyNumberFormat="1" applyBorder="1" applyProtection="1">
      <protection locked="0"/>
    </xf>
    <xf numFmtId="167" fontId="0" fillId="0" borderId="0" xfId="0" applyNumberFormat="1" applyBorder="1" applyAlignment="1">
      <alignment horizontal="right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1" fillId="0" borderId="14" xfId="0" applyFont="1" applyBorder="1" applyProtection="1">
      <protection locked="0"/>
    </xf>
    <xf numFmtId="169" fontId="11" fillId="0" borderId="14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6" fillId="0" borderId="17" xfId="0" applyFont="1" applyBorder="1" applyAlignment="1" applyProtection="1"/>
    <xf numFmtId="0" fontId="6" fillId="0" borderId="17" xfId="0" applyFont="1" applyBorder="1" applyProtection="1"/>
    <xf numFmtId="0" fontId="6" fillId="0" borderId="0" xfId="0" applyFont="1" applyProtection="1"/>
    <xf numFmtId="169" fontId="12" fillId="0" borderId="17" xfId="0" applyNumberFormat="1" applyFont="1" applyBorder="1" applyAlignment="1" applyProtection="1">
      <alignment horizontal="centerContinuous"/>
    </xf>
    <xf numFmtId="0" fontId="12" fillId="0" borderId="17" xfId="0" applyFont="1" applyBorder="1" applyProtection="1"/>
    <xf numFmtId="0" fontId="0" fillId="0" borderId="14" xfId="0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0" fillId="2" borderId="7" xfId="0" applyFont="1" applyFill="1" applyBorder="1" applyAlignment="1">
      <alignment horizontal="center" wrapText="1"/>
    </xf>
    <xf numFmtId="0" fontId="11" fillId="0" borderId="14" xfId="0" applyFont="1" applyBorder="1" applyAlignment="1" applyProtection="1">
      <alignment horizontal="left"/>
      <protection locked="0"/>
    </xf>
    <xf numFmtId="167" fontId="14" fillId="0" borderId="1" xfId="0" applyNumberFormat="1" applyFont="1" applyBorder="1" applyAlignment="1">
      <alignment horizont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/>
    </xf>
    <xf numFmtId="18" fontId="15" fillId="0" borderId="1" xfId="0" applyNumberFormat="1" applyFont="1" applyBorder="1" applyAlignment="1">
      <alignment horizontal="center" vertical="center" wrapText="1"/>
    </xf>
    <xf numFmtId="167" fontId="14" fillId="0" borderId="9" xfId="0" applyNumberFormat="1" applyFont="1" applyBorder="1"/>
    <xf numFmtId="165" fontId="14" fillId="0" borderId="9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7" fontId="0" fillId="3" borderId="5" xfId="0" applyNumberFormat="1" applyFill="1" applyBorder="1" applyAlignment="1">
      <alignment horizontal="right" textRotation="90" wrapText="1"/>
    </xf>
    <xf numFmtId="49" fontId="0" fillId="3" borderId="2" xfId="0" applyNumberFormat="1" applyFill="1" applyBorder="1" applyAlignment="1">
      <alignment horizontal="center" textRotation="90"/>
    </xf>
    <xf numFmtId="49" fontId="0" fillId="3" borderId="30" xfId="0" applyNumberFormat="1" applyFill="1" applyBorder="1" applyAlignment="1">
      <alignment horizontal="center" wrapText="1"/>
    </xf>
    <xf numFmtId="167" fontId="0" fillId="3" borderId="31" xfId="0" applyNumberFormat="1" applyFill="1" applyBorder="1" applyAlignment="1">
      <alignment horizontal="center" textRotation="90" wrapText="1"/>
    </xf>
    <xf numFmtId="167" fontId="10" fillId="0" borderId="26" xfId="0" applyNumberFormat="1" applyFont="1" applyBorder="1" applyAlignment="1">
      <alignment horizontal="right"/>
    </xf>
    <xf numFmtId="49" fontId="10" fillId="0" borderId="27" xfId="0" applyNumberFormat="1" applyFont="1" applyBorder="1" applyAlignment="1">
      <alignment horizontal="center"/>
    </xf>
    <xf numFmtId="167" fontId="10" fillId="0" borderId="23" xfId="0" applyNumberFormat="1" applyFont="1" applyBorder="1" applyAlignment="1">
      <alignment horizontal="right"/>
    </xf>
    <xf numFmtId="0" fontId="11" fillId="0" borderId="0" xfId="0" applyFont="1"/>
    <xf numFmtId="0" fontId="10" fillId="2" borderId="7" xfId="0" applyFont="1" applyFill="1" applyBorder="1"/>
    <xf numFmtId="0" fontId="10" fillId="2" borderId="7" xfId="0" applyFont="1" applyFill="1" applyBorder="1" applyAlignment="1">
      <alignment wrapText="1"/>
    </xf>
    <xf numFmtId="0" fontId="10" fillId="2" borderId="7" xfId="0" applyFont="1" applyFill="1" applyBorder="1" applyAlignment="1">
      <alignment horizontal="center"/>
    </xf>
    <xf numFmtId="0" fontId="11" fillId="3" borderId="14" xfId="0" applyFont="1" applyFill="1" applyBorder="1"/>
    <xf numFmtId="169" fontId="11" fillId="3" borderId="14" xfId="0" applyNumberFormat="1" applyFont="1" applyFill="1" applyBorder="1" applyProtection="1">
      <protection locked="0"/>
    </xf>
    <xf numFmtId="0" fontId="11" fillId="3" borderId="14" xfId="0" applyFont="1" applyFill="1" applyBorder="1" applyAlignment="1">
      <alignment horizontal="center"/>
    </xf>
    <xf numFmtId="169" fontId="11" fillId="0" borderId="1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167" fontId="0" fillId="0" borderId="26" xfId="0" applyNumberFormat="1" applyBorder="1"/>
    <xf numFmtId="167" fontId="0" fillId="0" borderId="26" xfId="0" applyNumberFormat="1" applyBorder="1" applyAlignment="1" applyProtection="1">
      <alignment horizontal="right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left"/>
      <protection locked="0"/>
    </xf>
    <xf numFmtId="167" fontId="0" fillId="0" borderId="23" xfId="0" applyNumberFormat="1" applyBorder="1" applyAlignment="1" applyProtection="1">
      <alignment horizontal="right"/>
      <protection locked="0"/>
    </xf>
    <xf numFmtId="49" fontId="11" fillId="0" borderId="27" xfId="0" applyNumberFormat="1" applyFont="1" applyBorder="1" applyAlignment="1">
      <alignment horizontal="left"/>
    </xf>
    <xf numFmtId="49" fontId="11" fillId="0" borderId="25" xfId="0" applyNumberFormat="1" applyFont="1" applyBorder="1" applyAlignment="1">
      <alignment horizontal="left"/>
    </xf>
    <xf numFmtId="49" fontId="11" fillId="0" borderId="27" xfId="0" applyNumberFormat="1" applyFont="1" applyBorder="1" applyAlignment="1">
      <alignment horizontal="center"/>
    </xf>
    <xf numFmtId="167" fontId="11" fillId="0" borderId="26" xfId="0" applyNumberFormat="1" applyFont="1" applyBorder="1" applyAlignment="1">
      <alignment horizontal="right"/>
    </xf>
    <xf numFmtId="167" fontId="11" fillId="0" borderId="23" xfId="0" applyNumberFormat="1" applyFont="1" applyBorder="1" applyAlignment="1">
      <alignment horizontal="right"/>
    </xf>
    <xf numFmtId="0" fontId="10" fillId="0" borderId="0" xfId="0" applyFont="1"/>
    <xf numFmtId="49" fontId="10" fillId="0" borderId="27" xfId="0" applyNumberFormat="1" applyFont="1" applyBorder="1" applyAlignment="1" applyProtection="1">
      <alignment horizontal="center"/>
      <protection locked="0"/>
    </xf>
    <xf numFmtId="0" fontId="10" fillId="0" borderId="27" xfId="0" applyFont="1" applyBorder="1" applyAlignment="1">
      <alignment horizontal="center"/>
    </xf>
    <xf numFmtId="49" fontId="11" fillId="0" borderId="25" xfId="0" applyNumberFormat="1" applyFont="1" applyBorder="1" applyAlignment="1">
      <alignment horizontal="center"/>
    </xf>
    <xf numFmtId="167" fontId="0" fillId="0" borderId="8" xfId="0" applyNumberFormat="1" applyBorder="1" applyAlignment="1">
      <alignment horizontal="right"/>
    </xf>
    <xf numFmtId="49" fontId="0" fillId="0" borderId="32" xfId="0" applyNumberFormat="1" applyBorder="1" applyAlignment="1">
      <alignment horizontal="left"/>
    </xf>
    <xf numFmtId="49" fontId="0" fillId="0" borderId="33" xfId="0" applyNumberFormat="1" applyBorder="1" applyAlignment="1">
      <alignment horizontal="center"/>
    </xf>
    <xf numFmtId="49" fontId="0" fillId="0" borderId="33" xfId="0" applyNumberFormat="1" applyBorder="1" applyAlignment="1">
      <alignment horizontal="left"/>
    </xf>
    <xf numFmtId="49" fontId="0" fillId="0" borderId="34" xfId="0" applyNumberFormat="1" applyBorder="1" applyAlignment="1">
      <alignment horizontal="center"/>
    </xf>
    <xf numFmtId="167" fontId="11" fillId="0" borderId="26" xfId="0" applyNumberFormat="1" applyFont="1" applyBorder="1" applyAlignment="1" applyProtection="1">
      <alignment horizontal="right"/>
      <protection locked="0"/>
    </xf>
    <xf numFmtId="167" fontId="0" fillId="0" borderId="35" xfId="0" applyNumberFormat="1" applyBorder="1" applyAlignment="1">
      <alignment horizontal="right"/>
    </xf>
    <xf numFmtId="167" fontId="0" fillId="0" borderId="36" xfId="0" applyNumberFormat="1" applyBorder="1" applyAlignment="1">
      <alignment horizontal="right"/>
    </xf>
    <xf numFmtId="167" fontId="0" fillId="0" borderId="37" xfId="0" applyNumberFormat="1" applyBorder="1" applyAlignment="1">
      <alignment horizontal="right"/>
    </xf>
    <xf numFmtId="167" fontId="0" fillId="0" borderId="38" xfId="0" applyNumberFormat="1" applyBorder="1" applyAlignment="1">
      <alignment horizontal="right"/>
    </xf>
    <xf numFmtId="49" fontId="0" fillId="0" borderId="32" xfId="0" applyNumberForma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0" fontId="0" fillId="0" borderId="35" xfId="0" applyBorder="1"/>
    <xf numFmtId="0" fontId="0" fillId="0" borderId="32" xfId="0" applyBorder="1"/>
    <xf numFmtId="167" fontId="11" fillId="0" borderId="38" xfId="0" applyNumberFormat="1" applyFont="1" applyBorder="1" applyAlignment="1">
      <alignment horizontal="right"/>
    </xf>
    <xf numFmtId="49" fontId="11" fillId="0" borderId="32" xfId="0" applyNumberFormat="1" applyFont="1" applyBorder="1" applyAlignment="1">
      <alignment horizontal="left"/>
    </xf>
    <xf numFmtId="0" fontId="0" fillId="0" borderId="38" xfId="0" applyBorder="1"/>
    <xf numFmtId="167" fontId="0" fillId="0" borderId="39" xfId="0" applyNumberFormat="1" applyBorder="1" applyAlignment="1">
      <alignment horizontal="right"/>
    </xf>
    <xf numFmtId="167" fontId="10" fillId="0" borderId="38" xfId="0" applyNumberFormat="1" applyFont="1" applyBorder="1" applyAlignment="1">
      <alignment horizontal="right"/>
    </xf>
    <xf numFmtId="0" fontId="17" fillId="0" borderId="14" xfId="1" applyBorder="1" applyAlignment="1" applyProtection="1">
      <protection locked="0"/>
    </xf>
    <xf numFmtId="0" fontId="17" fillId="3" borderId="14" xfId="1" applyFill="1" applyBorder="1" applyAlignment="1" applyProtection="1"/>
    <xf numFmtId="167" fontId="0" fillId="0" borderId="38" xfId="0" applyNumberFormat="1" applyBorder="1"/>
    <xf numFmtId="49" fontId="10" fillId="0" borderId="32" xfId="0" applyNumberFormat="1" applyFont="1" applyBorder="1" applyAlignment="1" applyProtection="1">
      <alignment horizontal="center"/>
      <protection locked="0"/>
    </xf>
    <xf numFmtId="167" fontId="0" fillId="0" borderId="40" xfId="0" applyNumberFormat="1" applyBorder="1" applyAlignment="1">
      <alignment horizontal="right"/>
    </xf>
    <xf numFmtId="49" fontId="0" fillId="0" borderId="41" xfId="0" applyNumberFormat="1" applyBorder="1" applyAlignment="1">
      <alignment horizontal="center"/>
    </xf>
    <xf numFmtId="49" fontId="0" fillId="0" borderId="41" xfId="0" applyNumberFormat="1" applyBorder="1" applyAlignment="1">
      <alignment horizontal="left"/>
    </xf>
    <xf numFmtId="167" fontId="0" fillId="3" borderId="42" xfId="0" applyNumberFormat="1" applyFill="1" applyBorder="1" applyAlignment="1">
      <alignment horizontal="right" textRotation="90" wrapText="1"/>
    </xf>
    <xf numFmtId="49" fontId="0" fillId="3" borderId="21" xfId="0" applyNumberFormat="1" applyFill="1" applyBorder="1" applyAlignment="1">
      <alignment horizontal="center" textRotation="90"/>
    </xf>
    <xf numFmtId="49" fontId="0" fillId="3" borderId="43" xfId="0" applyNumberFormat="1" applyFill="1" applyBorder="1" applyAlignment="1">
      <alignment horizontal="center" wrapText="1"/>
    </xf>
    <xf numFmtId="167" fontId="0" fillId="3" borderId="44" xfId="0" applyNumberFormat="1" applyFill="1" applyBorder="1" applyAlignment="1">
      <alignment horizontal="center" textRotation="90" wrapText="1"/>
    </xf>
    <xf numFmtId="167" fontId="0" fillId="0" borderId="45" xfId="0" applyNumberFormat="1" applyBorder="1" applyAlignment="1">
      <alignment horizontal="right"/>
    </xf>
    <xf numFmtId="49" fontId="0" fillId="0" borderId="46" xfId="0" applyNumberFormat="1" applyBorder="1" applyAlignment="1">
      <alignment horizontal="center"/>
    </xf>
    <xf numFmtId="49" fontId="0" fillId="0" borderId="46" xfId="0" applyNumberFormat="1" applyBorder="1" applyAlignment="1">
      <alignment horizontal="left"/>
    </xf>
    <xf numFmtId="167" fontId="0" fillId="0" borderId="47" xfId="0" applyNumberFormat="1" applyBorder="1" applyAlignment="1">
      <alignment horizontal="right"/>
    </xf>
    <xf numFmtId="49" fontId="18" fillId="0" borderId="34" xfId="0" applyNumberFormat="1" applyFont="1" applyBorder="1" applyAlignment="1">
      <alignment horizontal="center"/>
    </xf>
    <xf numFmtId="49" fontId="0" fillId="0" borderId="32" xfId="0" applyNumberFormat="1" applyBorder="1" applyAlignment="1" applyProtection="1">
      <alignment horizontal="center"/>
      <protection locked="0"/>
    </xf>
    <xf numFmtId="49" fontId="0" fillId="0" borderId="32" xfId="0" applyNumberFormat="1" applyBorder="1" applyAlignment="1" applyProtection="1">
      <alignment horizontal="left"/>
      <protection locked="0"/>
    </xf>
    <xf numFmtId="167" fontId="11" fillId="0" borderId="35" xfId="0" applyNumberFormat="1" applyFont="1" applyBorder="1" applyAlignment="1" applyProtection="1">
      <alignment horizontal="right"/>
      <protection locked="0"/>
    </xf>
    <xf numFmtId="49" fontId="10" fillId="0" borderId="33" xfId="0" applyNumberFormat="1" applyFont="1" applyBorder="1" applyAlignment="1">
      <alignment horizontal="center"/>
    </xf>
    <xf numFmtId="0" fontId="11" fillId="0" borderId="48" xfId="0" applyFont="1" applyBorder="1" applyProtection="1">
      <protection locked="0"/>
    </xf>
    <xf numFmtId="169" fontId="11" fillId="0" borderId="48" xfId="0" applyNumberFormat="1" applyFont="1" applyBorder="1" applyProtection="1">
      <protection locked="0"/>
    </xf>
    <xf numFmtId="0" fontId="11" fillId="3" borderId="12" xfId="0" applyFont="1" applyFill="1" applyBorder="1" applyAlignment="1">
      <alignment horizontal="center"/>
    </xf>
    <xf numFmtId="0" fontId="0" fillId="0" borderId="14" xfId="0" applyBorder="1"/>
    <xf numFmtId="169" fontId="11" fillId="0" borderId="0" xfId="0" applyNumberFormat="1" applyFont="1" applyProtection="1">
      <protection locked="0"/>
    </xf>
    <xf numFmtId="0" fontId="0" fillId="0" borderId="48" xfId="0" applyBorder="1"/>
    <xf numFmtId="0" fontId="11" fillId="3" borderId="14" xfId="0" applyFont="1" applyFill="1" applyBorder="1" applyAlignment="1" applyProtection="1">
      <alignment wrapText="1"/>
      <protection locked="0"/>
    </xf>
    <xf numFmtId="0" fontId="0" fillId="0" borderId="48" xfId="0" applyBorder="1" applyProtection="1">
      <protection locked="0"/>
    </xf>
    <xf numFmtId="0" fontId="11" fillId="0" borderId="14" xfId="0" applyFont="1" applyBorder="1"/>
    <xf numFmtId="167" fontId="19" fillId="0" borderId="49" xfId="0" applyNumberFormat="1" applyFont="1" applyBorder="1" applyAlignment="1">
      <alignment horizontal="right"/>
    </xf>
    <xf numFmtId="49" fontId="19" fillId="0" borderId="50" xfId="0" applyNumberFormat="1" applyFont="1" applyBorder="1" applyAlignment="1">
      <alignment horizontal="center"/>
    </xf>
    <xf numFmtId="167" fontId="19" fillId="0" borderId="50" xfId="0" applyNumberFormat="1" applyFont="1" applyBorder="1" applyAlignment="1">
      <alignment horizontal="right"/>
    </xf>
    <xf numFmtId="0" fontId="3" fillId="0" borderId="50" xfId="0" applyFont="1" applyBorder="1"/>
    <xf numFmtId="167" fontId="3" fillId="0" borderId="50" xfId="0" applyNumberFormat="1" applyFont="1" applyBorder="1" applyAlignment="1">
      <alignment horizontal="right"/>
    </xf>
    <xf numFmtId="49" fontId="3" fillId="0" borderId="50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left"/>
    </xf>
    <xf numFmtId="167" fontId="3" fillId="0" borderId="51" xfId="0" applyNumberFormat="1" applyFont="1" applyBorder="1" applyAlignment="1">
      <alignment horizontal="right"/>
    </xf>
    <xf numFmtId="167" fontId="19" fillId="0" borderId="52" xfId="0" applyNumberFormat="1" applyFont="1" applyBorder="1" applyAlignment="1">
      <alignment horizontal="right"/>
    </xf>
    <xf numFmtId="49" fontId="19" fillId="0" borderId="53" xfId="0" applyNumberFormat="1" applyFont="1" applyBorder="1" applyAlignment="1">
      <alignment horizontal="center"/>
    </xf>
    <xf numFmtId="167" fontId="19" fillId="0" borderId="53" xfId="0" applyNumberFormat="1" applyFont="1" applyBorder="1" applyAlignment="1">
      <alignment horizontal="right"/>
    </xf>
    <xf numFmtId="0" fontId="3" fillId="0" borderId="53" xfId="0" applyFont="1" applyBorder="1"/>
    <xf numFmtId="167" fontId="3" fillId="0" borderId="53" xfId="0" applyNumberFormat="1" applyFont="1" applyBorder="1" applyAlignment="1">
      <alignment horizontal="right"/>
    </xf>
    <xf numFmtId="49" fontId="3" fillId="0" borderId="53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left"/>
    </xf>
    <xf numFmtId="167" fontId="3" fillId="0" borderId="54" xfId="0" applyNumberFormat="1" applyFont="1" applyBorder="1" applyAlignment="1">
      <alignment horizontal="right"/>
    </xf>
    <xf numFmtId="167" fontId="3" fillId="0" borderId="52" xfId="0" applyNumberFormat="1" applyFont="1" applyBorder="1" applyAlignment="1">
      <alignment horizontal="right"/>
    </xf>
    <xf numFmtId="167" fontId="3" fillId="3" borderId="52" xfId="0" applyNumberFormat="1" applyFont="1" applyFill="1" applyBorder="1" applyAlignment="1">
      <alignment horizontal="right" textRotation="90" wrapText="1"/>
    </xf>
    <xf numFmtId="49" fontId="3" fillId="3" borderId="53" xfId="0" applyNumberFormat="1" applyFont="1" applyFill="1" applyBorder="1" applyAlignment="1">
      <alignment horizontal="center" textRotation="90"/>
    </xf>
    <xf numFmtId="49" fontId="3" fillId="3" borderId="53" xfId="0" applyNumberFormat="1" applyFont="1" applyFill="1" applyBorder="1" applyAlignment="1">
      <alignment horizontal="center" wrapText="1"/>
    </xf>
    <xf numFmtId="167" fontId="3" fillId="3" borderId="53" xfId="0" applyNumberFormat="1" applyFont="1" applyFill="1" applyBorder="1" applyAlignment="1">
      <alignment horizontal="center" textRotation="90" wrapText="1"/>
    </xf>
    <xf numFmtId="167" fontId="3" fillId="3" borderId="53" xfId="0" applyNumberFormat="1" applyFont="1" applyFill="1" applyBorder="1" applyAlignment="1">
      <alignment horizontal="right" textRotation="90" wrapText="1"/>
    </xf>
    <xf numFmtId="167" fontId="3" fillId="3" borderId="54" xfId="0" applyNumberFormat="1" applyFont="1" applyFill="1" applyBorder="1" applyAlignment="1">
      <alignment horizontal="center" textRotation="90" wrapText="1"/>
    </xf>
    <xf numFmtId="49" fontId="3" fillId="0" borderId="53" xfId="0" applyNumberFormat="1" applyFont="1" applyBorder="1" applyAlignment="1" applyProtection="1">
      <alignment horizontal="center"/>
      <protection locked="0"/>
    </xf>
    <xf numFmtId="49" fontId="3" fillId="0" borderId="53" xfId="0" applyNumberFormat="1" applyFont="1" applyBorder="1" applyAlignment="1" applyProtection="1">
      <alignment horizontal="left"/>
      <protection locked="0"/>
    </xf>
    <xf numFmtId="167" fontId="3" fillId="0" borderId="54" xfId="0" applyNumberFormat="1" applyFont="1" applyBorder="1" applyAlignment="1" applyProtection="1">
      <alignment horizontal="right"/>
      <protection locked="0"/>
    </xf>
    <xf numFmtId="167" fontId="3" fillId="0" borderId="53" xfId="0" applyNumberFormat="1" applyFont="1" applyBorder="1" applyAlignment="1" applyProtection="1">
      <alignment horizontal="right"/>
      <protection locked="0"/>
    </xf>
    <xf numFmtId="0" fontId="3" fillId="0" borderId="52" xfId="0" applyFont="1" applyBorder="1"/>
    <xf numFmtId="49" fontId="19" fillId="0" borderId="53" xfId="0" applyNumberFormat="1" applyFont="1" applyBorder="1" applyAlignment="1" applyProtection="1">
      <alignment horizontal="center"/>
      <protection locked="0"/>
    </xf>
    <xf numFmtId="0" fontId="19" fillId="0" borderId="53" xfId="0" applyFont="1" applyBorder="1" applyAlignment="1" applyProtection="1">
      <alignment horizontal="center"/>
      <protection locked="0"/>
    </xf>
    <xf numFmtId="167" fontId="3" fillId="0" borderId="52" xfId="0" applyNumberFormat="1" applyFont="1" applyBorder="1"/>
    <xf numFmtId="167" fontId="3" fillId="0" borderId="53" xfId="0" applyNumberFormat="1" applyFont="1" applyBorder="1"/>
    <xf numFmtId="0" fontId="3" fillId="0" borderId="54" xfId="0" applyFont="1" applyBorder="1"/>
    <xf numFmtId="49" fontId="21" fillId="0" borderId="53" xfId="0" applyNumberFormat="1" applyFont="1" applyBorder="1" applyAlignment="1">
      <alignment horizontal="center"/>
    </xf>
    <xf numFmtId="167" fontId="3" fillId="0" borderId="55" xfId="0" applyNumberFormat="1" applyFont="1" applyBorder="1" applyAlignment="1">
      <alignment horizontal="right"/>
    </xf>
    <xf numFmtId="49" fontId="3" fillId="0" borderId="56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left"/>
    </xf>
    <xf numFmtId="167" fontId="3" fillId="0" borderId="56" xfId="0" applyNumberFormat="1" applyFont="1" applyBorder="1" applyAlignment="1">
      <alignment horizontal="right"/>
    </xf>
    <xf numFmtId="0" fontId="3" fillId="0" borderId="56" xfId="0" applyFont="1" applyBorder="1"/>
    <xf numFmtId="167" fontId="3" fillId="0" borderId="57" xfId="0" applyNumberFormat="1" applyFont="1" applyBorder="1" applyAlignment="1">
      <alignment horizontal="right"/>
    </xf>
    <xf numFmtId="0" fontId="1" fillId="3" borderId="14" xfId="0" applyFont="1" applyFill="1" applyBorder="1"/>
    <xf numFmtId="0" fontId="1" fillId="0" borderId="25" xfId="0" applyFont="1" applyBorder="1" applyAlignment="1" applyProtection="1">
      <alignment horizontal="left"/>
      <protection locked="0"/>
    </xf>
    <xf numFmtId="0" fontId="19" fillId="0" borderId="53" xfId="0" applyFont="1" applyBorder="1"/>
    <xf numFmtId="0" fontId="22" fillId="0" borderId="32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530679</xdr:colOff>
      <xdr:row>1</xdr:row>
      <xdr:rowOff>68035</xdr:rowOff>
    </xdr:from>
    <xdr:to>
      <xdr:col>16</xdr:col>
      <xdr:colOff>38278</xdr:colOff>
      <xdr:row>6</xdr:row>
      <xdr:rowOff>314442</xdr:rowOff>
    </xdr:to>
    <xdr:pic>
      <xdr:nvPicPr>
        <xdr:cNvPr id="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1215" y="340178"/>
          <a:ext cx="2555599" cy="25324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31"/>
  </sheetPr>
  <dimension ref="A1:L29"/>
  <sheetViews>
    <sheetView showGridLines="0" topLeftCell="B1" workbookViewId="0">
      <selection activeCell="F12" sqref="F12"/>
    </sheetView>
  </sheetViews>
  <sheetFormatPr baseColWidth="10" defaultColWidth="11.5" defaultRowHeight="12" x14ac:dyDescent="0"/>
  <cols>
    <col min="1" max="1" width="16.5" style="3" customWidth="1"/>
    <col min="2" max="2" width="9" customWidth="1"/>
    <col min="3" max="3" width="9.1640625" style="6" hidden="1" customWidth="1"/>
    <col min="4" max="4" width="8.33203125" customWidth="1"/>
    <col min="5" max="5" width="28.6640625" customWidth="1"/>
    <col min="6" max="8" width="25.6640625" customWidth="1"/>
    <col min="9" max="12" width="17.83203125" hidden="1" customWidth="1"/>
  </cols>
  <sheetData>
    <row r="1" spans="1:12">
      <c r="A1" s="27" t="s">
        <v>152</v>
      </c>
      <c r="B1" s="28">
        <v>400</v>
      </c>
      <c r="C1">
        <f>IF(Brevet_Length&gt;=1200,Brevet_Length,IF(Brevet_Length&gt;=1000,1000,IF(Brevet_Length&gt;=600,600,IF(Brevet_Length&gt;=400,400,IF(Brevet_Length&gt;=300,300,IF(Brevet_Length&gt;=200,200,100))))))</f>
        <v>400</v>
      </c>
    </row>
    <row r="2" spans="1:12" ht="13" thickBot="1">
      <c r="A2" s="29" t="s">
        <v>153</v>
      </c>
      <c r="B2" s="30">
        <f>IF(brevet=1200,90,IF(brevet=1000,75,IF(brevet=600,40,IF(brevet=400,27,IF(brevet=300,20,IF(brevet=200,13.5,IF(brevet=100,7,0)))))))</f>
        <v>27</v>
      </c>
    </row>
    <row r="3" spans="1:12" ht="13" thickBot="1">
      <c r="A3" s="29" t="s">
        <v>154</v>
      </c>
      <c r="B3" s="33" t="s">
        <v>269</v>
      </c>
      <c r="C3" s="34"/>
      <c r="D3" s="4"/>
      <c r="E3" s="4"/>
      <c r="F3" s="4"/>
      <c r="G3" s="4"/>
      <c r="H3" s="5"/>
    </row>
    <row r="4" spans="1:12">
      <c r="A4" s="29" t="s">
        <v>155</v>
      </c>
      <c r="B4" s="76" t="s">
        <v>160</v>
      </c>
      <c r="C4" s="74"/>
      <c r="D4" s="75"/>
      <c r="E4" s="101"/>
      <c r="F4" s="101"/>
      <c r="G4" s="75"/>
      <c r="H4" s="75"/>
    </row>
    <row r="5" spans="1:12">
      <c r="A5" s="29" t="s">
        <v>156</v>
      </c>
      <c r="B5" s="31">
        <v>40005</v>
      </c>
    </row>
    <row r="6" spans="1:12" ht="13" thickBot="1">
      <c r="A6" s="25" t="s">
        <v>157</v>
      </c>
      <c r="B6" s="26">
        <v>0.25</v>
      </c>
    </row>
    <row r="7" spans="1:12" ht="13" thickBot="1">
      <c r="D7" s="10" t="s">
        <v>158</v>
      </c>
      <c r="E7" s="11"/>
      <c r="F7" s="11"/>
      <c r="G7" s="11"/>
      <c r="H7" s="12"/>
    </row>
    <row r="8" spans="1:12" ht="8.25" hidden="1" customHeight="1" thickBot="1">
      <c r="D8" s="13"/>
      <c r="E8" s="13"/>
      <c r="F8" s="13"/>
      <c r="G8" s="13"/>
      <c r="H8" s="13"/>
    </row>
    <row r="9" spans="1:12" ht="13" thickBot="1">
      <c r="D9" s="14" t="s">
        <v>159</v>
      </c>
      <c r="E9" s="15" t="s">
        <v>246</v>
      </c>
      <c r="F9" s="15" t="s">
        <v>247</v>
      </c>
      <c r="G9" s="15" t="s">
        <v>248</v>
      </c>
      <c r="H9" s="16" t="s">
        <v>249</v>
      </c>
      <c r="I9" t="s">
        <v>250</v>
      </c>
      <c r="J9" t="s">
        <v>251</v>
      </c>
      <c r="K9" t="s">
        <v>252</v>
      </c>
      <c r="L9" t="s">
        <v>253</v>
      </c>
    </row>
    <row r="10" spans="1:12">
      <c r="C10" s="6" t="s">
        <v>254</v>
      </c>
      <c r="D10" s="95">
        <v>0</v>
      </c>
      <c r="E10" s="32" t="s">
        <v>69</v>
      </c>
      <c r="F10" s="77" t="s">
        <v>70</v>
      </c>
      <c r="G10" s="77" t="s">
        <v>71</v>
      </c>
      <c r="H10" s="78" t="s">
        <v>202</v>
      </c>
      <c r="I10" s="7">
        <f>Start_date+Start_time</f>
        <v>40005.25</v>
      </c>
      <c r="J10" s="7">
        <f>I10+"1:00"</f>
        <v>40005.291666666664</v>
      </c>
      <c r="K10" s="8">
        <f>IF(ISBLANK(Distance),"",Open Control_1)</f>
        <v>40005.25</v>
      </c>
      <c r="L10" s="8">
        <f>IF(ISBLANK(Distance),"",Close Control_1)</f>
        <v>40005.291666666664</v>
      </c>
    </row>
    <row r="11" spans="1:12">
      <c r="C11" s="6" t="s">
        <v>255</v>
      </c>
      <c r="D11" s="95">
        <f>'VI402A 070812'!A21</f>
        <v>51.199999999999996</v>
      </c>
      <c r="E11" s="32" t="s">
        <v>213</v>
      </c>
      <c r="F11" s="77" t="s">
        <v>72</v>
      </c>
      <c r="G11" s="77" t="s">
        <v>268</v>
      </c>
      <c r="H11" s="78" t="s">
        <v>210</v>
      </c>
      <c r="I11">
        <f>IF(ISBLANK(Distance),"",IF(Distance&gt;1000,(Distance-1000)/26+33.0847,(IF(Distance&gt;600,(Distance-600)/28+18.799,(IF(Distance&gt;400,(Distance-400)/30+12.1324,(IF(Distance&gt;200,(Distance-200)/32+5.8824,Distance/34))))))))</f>
        <v>1.5058823529411764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3.4133333333333331</v>
      </c>
      <c r="K11" s="8">
        <f>IF(ISBLANK(Distance),"",Open_time Control_1+(INT(Open)&amp;":"&amp;IF(ROUND(((Open-INT(Open))*60),0)&lt;10,0,"")&amp;ROUND(((Open-INT(Open))*60),0)))</f>
        <v>40005.3125</v>
      </c>
      <c r="L11" s="8">
        <f>IF(ISBLANK(Distance),"",Open_time Control_1+(INT(Close)&amp;":"&amp;IF(ROUND(((Close-INT(Close))*60),0)&lt;10,0,"")&amp;ROUND(((Close-INT(Close))*60),0)))</f>
        <v>40005.392361111109</v>
      </c>
    </row>
    <row r="12" spans="1:12">
      <c r="C12" s="6" t="s">
        <v>256</v>
      </c>
      <c r="D12" s="95">
        <f>'VI402A 070812'!A43</f>
        <v>134.79999999999998</v>
      </c>
      <c r="E12" s="32" t="s">
        <v>143</v>
      </c>
      <c r="F12" s="77" t="s">
        <v>294</v>
      </c>
      <c r="G12" s="77" t="s">
        <v>295</v>
      </c>
      <c r="H12" s="78"/>
      <c r="I12">
        <f>IF(ISBLANK(Distance),"",IF(Distance&gt;1000,(Distance-1000)/26+33.0847,(IF(Distance&gt;600,(Distance-600)/28+18.799,(IF(Distance&gt;400,(Distance-400)/30+12.1324,(IF(Distance&gt;200,(Distance-200)/32+5.8824,Distance/34))))))))</f>
        <v>3.9647058823529409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8.9866666666666664</v>
      </c>
      <c r="K12" s="8">
        <f>IF(ISBLANK(Distance),"",Open_time Control_1+(INT(Open)&amp;":"&amp;IF(ROUND(((Open-INT(Open))*60),0)&lt;10,0,"")&amp;ROUND(((Open-INT(Open))*60),0)))</f>
        <v>40005.415277777778</v>
      </c>
      <c r="L12" s="8">
        <f>IF(ISBLANK(Distance),"",Open_time Control_1+(INT(Close)&amp;":"&amp;IF(ROUND(((Close-INT(Close))*60),0)&lt;10,0,"")&amp;ROUND(((Close-INT(Close))*60),0)))</f>
        <v>40005.624305555553</v>
      </c>
    </row>
    <row r="13" spans="1:12">
      <c r="C13" s="6" t="s">
        <v>257</v>
      </c>
      <c r="D13" s="95">
        <f>'VI402A 070812'!A52</f>
        <v>217.59999999999997</v>
      </c>
      <c r="E13" s="32" t="s">
        <v>93</v>
      </c>
      <c r="F13" s="77" t="s">
        <v>145</v>
      </c>
      <c r="G13" s="77" t="s">
        <v>72</v>
      </c>
      <c r="H13" s="78" t="s">
        <v>114</v>
      </c>
      <c r="I13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6.4323999999999986</v>
      </c>
      <c r="J13">
        <f t="shared" si="0"/>
        <v>14.506666666666664</v>
      </c>
      <c r="K13" s="8">
        <f>IF(ISBLANK(Distance),"",Open_time Control_1+(INT(Open)&amp;":"&amp;IF(ROUND(((Open-INT(Open))*60),0)&lt;10,0,"")&amp;ROUND(((Open-INT(Open))*60),0)))</f>
        <v>40005.518055555556</v>
      </c>
      <c r="L13" s="8">
        <f>IF(ISBLANK(Distance),"",Open_time Control_1+(INT(Close)&amp;":"&amp;IF(ROUND(((Close-INT(Close))*60),0)&lt;10,0,"")&amp;ROUND(((Close-INT(Close))*60),0)))</f>
        <v>40005.854166666664</v>
      </c>
    </row>
    <row r="14" spans="1:12">
      <c r="C14" s="6" t="s">
        <v>258</v>
      </c>
      <c r="D14" s="95">
        <f>'VI402A 070812'!A57</f>
        <v>269.69999999999993</v>
      </c>
      <c r="E14" s="32" t="s">
        <v>95</v>
      </c>
      <c r="F14" s="77" t="s">
        <v>70</v>
      </c>
      <c r="G14" s="77" t="s">
        <v>119</v>
      </c>
      <c r="H14" s="78" t="s">
        <v>117</v>
      </c>
      <c r="I14">
        <f t="shared" si="1"/>
        <v>8.0605249999999984</v>
      </c>
      <c r="J14">
        <f t="shared" si="0"/>
        <v>17.979999999999997</v>
      </c>
      <c r="K14" s="8">
        <f>IF(ISBLANK(Distance),"",Open_time Control_1+(INT(Open)&amp;":"&amp;IF(ROUND(((Open-INT(Open))*60),0)&lt;10,0,"")&amp;ROUND(((Open-INT(Open))*60),0)))</f>
        <v>40005.586111111108</v>
      </c>
      <c r="L14" s="8">
        <f>IF(ISBLANK(Distance),"",Open_time Control_1+(INT(Close)&amp;":"&amp;IF(ROUND(((Close-INT(Close))*60),0)&lt;10,0,"")&amp;ROUND(((Close-INT(Close))*60),0)))</f>
        <v>40005.999305555553</v>
      </c>
    </row>
    <row r="15" spans="1:12">
      <c r="C15" s="6" t="s">
        <v>259</v>
      </c>
      <c r="D15" s="95">
        <f>'VI402A 070812'!A83</f>
        <v>346.89999999999992</v>
      </c>
      <c r="E15" s="32" t="s">
        <v>216</v>
      </c>
      <c r="F15" s="77" t="s">
        <v>144</v>
      </c>
      <c r="G15" s="77" t="s">
        <v>135</v>
      </c>
      <c r="H15" s="78" t="s">
        <v>136</v>
      </c>
      <c r="I15">
        <f t="shared" si="1"/>
        <v>10.473024999999996</v>
      </c>
      <c r="J15">
        <f t="shared" si="0"/>
        <v>23.126666666666662</v>
      </c>
      <c r="K15" s="8">
        <f>IF(ISBLANK(Distance),"",Open_time Control_1+(INT(Open)&amp;":"&amp;IF(ROUND(((Open-INT(Open))*60),0)&lt;10,0,"")&amp;ROUND(((Open-INT(Open))*60),0)))</f>
        <v>40005.686111111114</v>
      </c>
      <c r="L15" s="8">
        <f>IF(ISBLANK(Distance),"",Open_time Control_1+(INT(Close)&amp;":"&amp;IF(ROUND(((Close-INT(Close))*60),0)&lt;10,0,"")&amp;ROUND(((Close-INT(Close))*60),0)))</f>
        <v>40006.213888888888</v>
      </c>
    </row>
    <row r="16" spans="1:12">
      <c r="C16" s="6" t="s">
        <v>260</v>
      </c>
      <c r="D16" s="95">
        <f>'VI402A 070812'!F93</f>
        <v>405.2</v>
      </c>
      <c r="E16" s="32" t="s">
        <v>69</v>
      </c>
      <c r="F16" s="77" t="s">
        <v>70</v>
      </c>
      <c r="G16" s="77" t="s">
        <v>270</v>
      </c>
      <c r="H16" s="78" t="s">
        <v>202</v>
      </c>
      <c r="I16">
        <f t="shared" si="1"/>
        <v>12.305733333333334</v>
      </c>
      <c r="J16">
        <f t="shared" si="0"/>
        <v>27</v>
      </c>
      <c r="K16" s="8">
        <f>IF(ISBLANK(Distance),"",Open_time Control_1+(INT(Open)&amp;":"&amp;IF(ROUND(((Open-INT(Open))*60),0)&lt;10,0,"")&amp;ROUND(((Open-INT(Open))*60),0)))</f>
        <v>40005.762499999997</v>
      </c>
      <c r="L16" s="8">
        <f>IF(ISBLANK(Distance),"",Open_time Control_1+(INT(Close)&amp;":"&amp;IF(ROUND(((Close-INT(Close))*60),0)&lt;10,0,"")&amp;ROUND(((Close-INT(Close))*60),0)))</f>
        <v>40006.375</v>
      </c>
    </row>
    <row r="17" spans="3:12">
      <c r="C17" s="6" t="s">
        <v>261</v>
      </c>
      <c r="D17" s="95"/>
      <c r="E17" s="32" t="s">
        <v>262</v>
      </c>
      <c r="F17" s="77"/>
      <c r="G17" s="77"/>
      <c r="H17" s="78"/>
      <c r="I17" t="str">
        <f t="shared" si="1"/>
        <v/>
      </c>
      <c r="J17" t="str">
        <f t="shared" si="0"/>
        <v/>
      </c>
      <c r="K17" s="8" t="str">
        <f>IF(ISBLANK(Distance),"",Open_time Control_1+(INT(Open)&amp;":"&amp;IF(ROUND(((Open-INT(Open))*60),0)&lt;10,0,"")&amp;ROUND(((Open-INT(Open))*60),0)))</f>
        <v/>
      </c>
      <c r="L17" s="8" t="str">
        <f>IF(ISBLANK(Distance),"",Open_time Control_1+(INT(Close)&amp;":"&amp;IF(ROUND(((Close-INT(Close))*60),0)&lt;10,0,"")&amp;ROUND(((Close-INT(Close))*60),0)))</f>
        <v/>
      </c>
    </row>
    <row r="18" spans="3:12">
      <c r="C18" s="6" t="s">
        <v>263</v>
      </c>
      <c r="D18" s="95"/>
      <c r="E18" s="32" t="s">
        <v>262</v>
      </c>
      <c r="F18" s="77"/>
      <c r="G18" s="77"/>
      <c r="H18" s="78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>
      <c r="C19" s="6" t="s">
        <v>264</v>
      </c>
      <c r="D19" s="95"/>
      <c r="E19" s="32" t="s">
        <v>262</v>
      </c>
      <c r="F19" s="77"/>
      <c r="G19" s="77"/>
      <c r="H19" s="78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265</v>
      </c>
      <c r="D20" s="95"/>
      <c r="E20" s="32"/>
      <c r="F20" s="77"/>
      <c r="G20" s="77"/>
      <c r="H20" s="78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266</v>
      </c>
      <c r="D21" s="95"/>
      <c r="E21" s="32"/>
      <c r="F21" s="77"/>
      <c r="G21" s="77"/>
      <c r="H21" s="78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267</v>
      </c>
      <c r="D22" s="95"/>
      <c r="E22" s="32"/>
      <c r="F22" s="77"/>
      <c r="G22" s="77"/>
      <c r="H22" s="78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170</v>
      </c>
      <c r="D23" s="95"/>
      <c r="E23" s="32"/>
      <c r="F23" s="77"/>
      <c r="G23" s="77"/>
      <c r="H23" s="78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171</v>
      </c>
      <c r="D24" s="95"/>
      <c r="E24" s="32"/>
      <c r="F24" s="77"/>
      <c r="G24" s="77"/>
      <c r="H24" s="78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172</v>
      </c>
      <c r="D25" s="95"/>
      <c r="E25" s="32"/>
      <c r="F25" s="77"/>
      <c r="G25" s="77"/>
      <c r="H25" s="78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173</v>
      </c>
      <c r="D26" s="95"/>
      <c r="E26" s="32"/>
      <c r="F26" s="77"/>
      <c r="G26" s="77"/>
      <c r="H26" s="78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174</v>
      </c>
      <c r="D27" s="95"/>
      <c r="E27" s="32"/>
      <c r="F27" s="77"/>
      <c r="G27" s="77"/>
      <c r="H27" s="78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175</v>
      </c>
      <c r="D28" s="95"/>
      <c r="E28" s="32"/>
      <c r="F28" s="77"/>
      <c r="G28" s="77"/>
      <c r="H28" s="78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" thickBot="1">
      <c r="C29" s="6" t="s">
        <v>176</v>
      </c>
      <c r="D29" s="96"/>
      <c r="E29" s="24"/>
      <c r="F29" s="79"/>
      <c r="G29" s="79"/>
      <c r="H29" s="80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</sheetData>
  <phoneticPr fontId="16" type="noConversion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9"/>
    <pageSetUpPr fitToPage="1"/>
  </sheetPr>
  <dimension ref="A1:U40"/>
  <sheetViews>
    <sheetView showGridLines="0" zoomScale="70" zoomScaleNormal="70" zoomScalePageLayoutView="70" workbookViewId="0">
      <selection activeCell="V13" sqref="V13"/>
    </sheetView>
  </sheetViews>
  <sheetFormatPr baseColWidth="10" defaultColWidth="11.5" defaultRowHeight="12" x14ac:dyDescent="0"/>
  <cols>
    <col min="1" max="1" width="9.33203125" style="2" customWidth="1"/>
    <col min="2" max="3" width="11.6640625" customWidth="1"/>
    <col min="4" max="4" width="19.33203125" customWidth="1"/>
    <col min="5" max="5" width="24.5" customWidth="1"/>
    <col min="6" max="6" width="43.33203125" customWidth="1"/>
    <col min="7" max="7" width="13.5" customWidth="1"/>
    <col min="8" max="8" width="9.1640625" style="100" customWidth="1"/>
    <col min="9" max="9" width="8.6640625" customWidth="1"/>
    <col min="10" max="11" width="11.5" customWidth="1"/>
    <col min="12" max="12" width="12.6640625" customWidth="1"/>
  </cols>
  <sheetData>
    <row r="1" spans="1:20" ht="19" thickBot="1">
      <c r="A1" s="17" t="s">
        <v>177</v>
      </c>
      <c r="B1" s="9"/>
      <c r="C1" s="9"/>
      <c r="D1" s="9"/>
      <c r="E1" s="9"/>
      <c r="F1" s="9"/>
      <c r="G1" s="9"/>
      <c r="H1" s="101" t="s">
        <v>178</v>
      </c>
    </row>
    <row r="2" spans="1:20" ht="33.75" customHeight="1" thickBot="1">
      <c r="A2" s="18" t="s">
        <v>179</v>
      </c>
      <c r="B2" s="19" t="s">
        <v>250</v>
      </c>
      <c r="C2" s="19" t="s">
        <v>251</v>
      </c>
      <c r="D2" s="19" t="s">
        <v>246</v>
      </c>
      <c r="E2" s="19" t="s">
        <v>180</v>
      </c>
      <c r="F2" s="19" t="s">
        <v>181</v>
      </c>
      <c r="G2" s="18" t="s">
        <v>182</v>
      </c>
      <c r="H2" s="101" t="s">
        <v>178</v>
      </c>
      <c r="N2" s="1"/>
    </row>
    <row r="3" spans="1:20" ht="36" customHeight="1">
      <c r="A3" s="114"/>
      <c r="B3" s="115">
        <f>Control_1 Open_time</f>
        <v>40005.25</v>
      </c>
      <c r="C3" s="115">
        <f>Control_1 Close_time</f>
        <v>40005.291666666664</v>
      </c>
      <c r="D3" s="116"/>
      <c r="E3" s="117" t="str">
        <f>IF(ISBLANK(Control_1 Establishment_1),"",Control_1 Establishment_1)</f>
        <v>Tim Horton's</v>
      </c>
      <c r="F3" s="21"/>
      <c r="G3" s="20"/>
      <c r="H3" s="101" t="s">
        <v>178</v>
      </c>
      <c r="K3" s="35"/>
      <c r="N3" s="1"/>
    </row>
    <row r="4" spans="1:20" ht="36" customHeight="1">
      <c r="A4" s="118">
        <f>IF(ISBLANK(Distance Control_1),"",Control_1 Distance)</f>
        <v>0</v>
      </c>
      <c r="B4" s="119">
        <v>0.25</v>
      </c>
      <c r="C4" s="119">
        <f>Control_1 Close_time</f>
        <v>40005.291666666664</v>
      </c>
      <c r="D4" s="117" t="s">
        <v>69</v>
      </c>
      <c r="E4" s="117" t="str">
        <f>IF(ISBLANK(Control_1 Establishment_2),"",Control_1 Establishment_2)</f>
        <v xml:space="preserve"> Deloume @ Hwy #1</v>
      </c>
      <c r="F4" s="21"/>
      <c r="G4" s="20"/>
      <c r="H4" s="101" t="s">
        <v>178</v>
      </c>
      <c r="K4" s="35"/>
      <c r="N4" s="1"/>
    </row>
    <row r="5" spans="1:20" ht="36" customHeight="1" thickBot="1">
      <c r="A5" s="120"/>
      <c r="B5" s="121">
        <f>Control_1 Open_time</f>
        <v>40005.25</v>
      </c>
      <c r="C5" s="121">
        <f>Control_1 Close_time</f>
        <v>40005.291666666664</v>
      </c>
      <c r="D5" s="122"/>
      <c r="E5" s="123" t="str">
        <f>IF(ISBLANK(Control_1 Establishment_3),"",Control_1 Establishment_3)</f>
        <v>Mill Bay</v>
      </c>
      <c r="F5" s="23"/>
      <c r="G5" s="22"/>
      <c r="H5" s="101" t="s">
        <v>178</v>
      </c>
      <c r="K5" s="35"/>
    </row>
    <row r="6" spans="1:20" ht="36" customHeight="1">
      <c r="A6" s="114"/>
      <c r="B6" s="115">
        <f>Control_2 Open_time</f>
        <v>40005.3125</v>
      </c>
      <c r="C6" s="115">
        <f>Control_2 Close_time</f>
        <v>40005.392361111109</v>
      </c>
      <c r="D6" s="124"/>
      <c r="E6" s="117" t="str">
        <f>IF(ISBLANK(Control_2 Establishment_1),"",Control_2 Establishment_1)</f>
        <v>Subway</v>
      </c>
      <c r="F6" s="21"/>
      <c r="G6" s="20"/>
      <c r="H6" s="101" t="s">
        <v>178</v>
      </c>
      <c r="K6" s="35"/>
    </row>
    <row r="7" spans="1:20" ht="36" customHeight="1">
      <c r="A7" s="118">
        <f>IF(ISBLANK(Distance Control_2),"",Control_2 Distance)</f>
        <v>51.199999999999996</v>
      </c>
      <c r="B7" s="119">
        <f>Control_2 Open_time</f>
        <v>40005.3125</v>
      </c>
      <c r="C7" s="119">
        <f>Control_2 Close_time</f>
        <v>40005.392361111109</v>
      </c>
      <c r="D7" s="117" t="str">
        <f>IF(ISBLANK(Locale Control_2),"",Locale Control_2)</f>
        <v>CHEMAINUS</v>
      </c>
      <c r="E7" s="117" t="s">
        <v>268</v>
      </c>
      <c r="F7" s="21"/>
      <c r="G7" s="20"/>
      <c r="H7" s="101" t="s">
        <v>178</v>
      </c>
      <c r="K7" s="35"/>
    </row>
    <row r="8" spans="1:20" ht="36" customHeight="1" thickBot="1">
      <c r="A8" s="120"/>
      <c r="B8" s="121">
        <f>Control_2 Open_time</f>
        <v>40005.3125</v>
      </c>
      <c r="C8" s="121">
        <f>Control_2 Close_time</f>
        <v>40005.392361111109</v>
      </c>
      <c r="D8" s="122"/>
      <c r="E8" s="123" t="str">
        <f>IF(ISBLANK(Control_2 Establishment_3),"",Control_2 Establishment_3)</f>
        <v>Chemainus</v>
      </c>
      <c r="F8" s="23"/>
      <c r="G8" s="22"/>
      <c r="H8" s="101" t="s">
        <v>178</v>
      </c>
      <c r="J8" s="38" t="s">
        <v>183</v>
      </c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36" customHeight="1">
      <c r="A9" s="114"/>
      <c r="B9" s="115">
        <f>Control_3 Open_time</f>
        <v>40005.415277777778</v>
      </c>
      <c r="C9" s="115">
        <f>Control_3 Close_time</f>
        <v>40005.624305555553</v>
      </c>
      <c r="D9" s="124"/>
      <c r="E9" s="117"/>
      <c r="F9" s="21"/>
      <c r="G9" s="20"/>
      <c r="H9" s="101" t="s">
        <v>178</v>
      </c>
      <c r="J9" s="43" t="str">
        <f>IF(ISBLANK(brevet),"",brevet&amp;" km Randonnée")</f>
        <v>400 km Randonnée</v>
      </c>
      <c r="K9" s="44"/>
      <c r="L9" s="36"/>
      <c r="M9" s="36"/>
      <c r="N9" s="36"/>
      <c r="O9" s="36"/>
      <c r="P9" s="36"/>
      <c r="Q9" s="36"/>
      <c r="R9" s="36"/>
      <c r="S9" s="36"/>
    </row>
    <row r="10" spans="1:20" ht="36" customHeight="1">
      <c r="A10" s="118">
        <f>IF(ISBLANK(Distance Control_3),"",Control_3 Distance)</f>
        <v>134.79999999999998</v>
      </c>
      <c r="B10" s="119">
        <f>Control_3 Open_time</f>
        <v>40005.415277777778</v>
      </c>
      <c r="C10" s="119">
        <f>Control_3 Close_time</f>
        <v>40005.624305555553</v>
      </c>
      <c r="D10" s="117" t="str">
        <f>IF(ISBLANK(Locale Control_3),"",Locale Control_3)</f>
        <v>SCHOONER COVE</v>
      </c>
      <c r="E10" s="117" t="str">
        <f>IF(ISBLANK(Control_3 Establishment_2),"",Control_3 Establishment_2)</f>
        <v>Nanoose Bay</v>
      </c>
      <c r="F10" s="21"/>
      <c r="G10" s="20"/>
      <c r="H10" s="101" t="s">
        <v>178</v>
      </c>
      <c r="J10" s="42" t="str">
        <f>IF(ISBLANK(Brevet_Description),"",Brevet_Description)</f>
        <v>Mill Bay--Buckley Bay "Back Road" 400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0" ht="36" customHeight="1" thickBot="1">
      <c r="A11" s="120"/>
      <c r="B11" s="121">
        <f>Control_3 Open_time</f>
        <v>40005.415277777778</v>
      </c>
      <c r="C11" s="121">
        <f>Control_3 Close_time</f>
        <v>40005.624305555553</v>
      </c>
      <c r="D11" s="122"/>
      <c r="E11" s="123" t="s">
        <v>298</v>
      </c>
      <c r="F11" s="23"/>
      <c r="G11" s="22"/>
      <c r="H11" s="101" t="s">
        <v>178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ht="36" customHeight="1" thickBot="1">
      <c r="A12" s="114"/>
      <c r="B12" s="115">
        <f>Control_4 Open_time</f>
        <v>40005.518055555556</v>
      </c>
      <c r="C12" s="115">
        <f>Control_4 Close_time</f>
        <v>40005.854166666664</v>
      </c>
      <c r="D12" s="124"/>
      <c r="E12" s="117" t="str">
        <f>IF(ISBLANK(Control_4 Establishment_1),"",Control_4 Establishment_1)</f>
        <v>Petrocan/Store/</v>
      </c>
      <c r="F12" s="21"/>
      <c r="G12" s="20"/>
      <c r="H12" s="101" t="s">
        <v>178</v>
      </c>
      <c r="J12" s="39" t="s">
        <v>184</v>
      </c>
      <c r="L12" s="105"/>
      <c r="M12" s="56"/>
      <c r="N12" s="56"/>
      <c r="O12" s="56"/>
      <c r="P12" s="56"/>
      <c r="Q12" s="56"/>
      <c r="R12" s="56"/>
      <c r="S12" s="56"/>
      <c r="T12" s="55"/>
    </row>
    <row r="13" spans="1:20" ht="36" customHeight="1" thickBot="1">
      <c r="A13" s="118">
        <f>IF(ISBLANK(Distance Control_4),"",Control_4 Distance)</f>
        <v>217.59999999999997</v>
      </c>
      <c r="B13" s="119">
        <f>Control_4 Open_time</f>
        <v>40005.518055555556</v>
      </c>
      <c r="C13" s="119">
        <f>Control_4 Close_time</f>
        <v>40005.854166666664</v>
      </c>
      <c r="D13" s="117" t="str">
        <f>IF(ISBLANK(Locale Control_4),"",Locale Control_4)</f>
        <v>BUCKLEY BAY</v>
      </c>
      <c r="E13" s="117" t="str">
        <f>IF(ISBLANK(Control_4 Establishment_2),"",Control_4 Establishment_2)</f>
        <v>Subway</v>
      </c>
      <c r="F13" s="21"/>
      <c r="G13" s="20"/>
      <c r="H13" s="101" t="s">
        <v>178</v>
      </c>
      <c r="J13" s="39" t="s">
        <v>185</v>
      </c>
      <c r="K13" s="39"/>
      <c r="L13" s="106"/>
      <c r="M13" s="57"/>
      <c r="N13" s="57"/>
      <c r="O13" s="57"/>
      <c r="P13" s="57"/>
      <c r="Q13" s="57"/>
      <c r="R13" s="57"/>
      <c r="S13" s="57"/>
      <c r="T13" s="53"/>
    </row>
    <row r="14" spans="1:20" ht="36" customHeight="1" thickBot="1">
      <c r="A14" s="120"/>
      <c r="B14" s="121">
        <f>Control_4 Open_time</f>
        <v>40005.518055555556</v>
      </c>
      <c r="C14" s="121">
        <f>Control_4 Close_time</f>
        <v>40005.854166666664</v>
      </c>
      <c r="D14" s="122"/>
      <c r="E14" s="123" t="str">
        <f>IF(ISBLANK(Control_4 Establishment_3),"",Control_4 Establishment_3)</f>
        <v>Buckley Bay</v>
      </c>
      <c r="F14" s="23"/>
      <c r="G14" s="22"/>
      <c r="H14" s="101" t="s">
        <v>178</v>
      </c>
      <c r="J14" s="39"/>
      <c r="K14" s="39"/>
      <c r="L14" s="106" t="str">
        <f>IF(ISBLANK(Address_2),"",Address_2)</f>
        <v/>
      </c>
      <c r="M14" s="57"/>
      <c r="N14" s="57"/>
      <c r="O14" s="57"/>
      <c r="P14" s="57"/>
      <c r="Q14" s="57"/>
      <c r="R14" s="57"/>
      <c r="S14" s="57"/>
      <c r="T14" s="53"/>
    </row>
    <row r="15" spans="1:20" ht="36" customHeight="1" thickBot="1">
      <c r="A15" s="114"/>
      <c r="B15" s="115">
        <f>Control_5 Open_time</f>
        <v>40005.586111111108</v>
      </c>
      <c r="C15" s="115">
        <f>Control_5 Close_time</f>
        <v>40005.999305555553</v>
      </c>
      <c r="D15" s="124"/>
      <c r="E15" s="117" t="str">
        <f>IF(ISBLANK(Control_5 Establishment_1),"",Control_5 Establishment_1)</f>
        <v>Tim Horton's</v>
      </c>
      <c r="F15" s="21"/>
      <c r="G15" s="20"/>
      <c r="H15" s="101" t="s">
        <v>178</v>
      </c>
      <c r="J15" s="39" t="s">
        <v>186</v>
      </c>
      <c r="K15" s="39"/>
      <c r="L15" s="106"/>
      <c r="M15" s="57"/>
      <c r="N15" s="57"/>
      <c r="O15" s="58"/>
      <c r="P15" s="58" t="s">
        <v>187</v>
      </c>
      <c r="Q15" s="58"/>
      <c r="R15" s="58"/>
      <c r="S15" s="106"/>
      <c r="T15" s="53"/>
    </row>
    <row r="16" spans="1:20" ht="36" customHeight="1" thickBot="1">
      <c r="A16" s="118">
        <f>IF(ISBLANK(Distance Control_5),"",Control_5 Distance)</f>
        <v>269.69999999999993</v>
      </c>
      <c r="B16" s="119">
        <f>Control_5 Open_time</f>
        <v>40005.586111111108</v>
      </c>
      <c r="C16" s="119">
        <f>Control_5 Close_time</f>
        <v>40005.999305555553</v>
      </c>
      <c r="D16" s="117" t="str">
        <f>IF(ISBLANK(Locale Control_5),"",Locale Control_5)</f>
        <v>PARKSVILLE</v>
      </c>
      <c r="E16" s="117" t="str">
        <f>IF(ISBLANK(Control_5 Establishment_2),"",Control_5 Establishment_2)</f>
        <v>490 Island Hwy</v>
      </c>
      <c r="F16" s="21"/>
      <c r="G16" s="20"/>
      <c r="H16" s="101" t="s">
        <v>178</v>
      </c>
      <c r="J16" s="39" t="s">
        <v>188</v>
      </c>
      <c r="K16" s="39"/>
      <c r="L16" s="106"/>
      <c r="M16" s="57"/>
      <c r="N16" s="57"/>
      <c r="O16" s="58"/>
      <c r="P16" s="58" t="s">
        <v>189</v>
      </c>
      <c r="Q16" s="58"/>
      <c r="R16" s="58"/>
      <c r="S16" s="106"/>
      <c r="T16" s="53"/>
    </row>
    <row r="17" spans="1:21" ht="36" customHeight="1" thickBot="1">
      <c r="A17" s="120"/>
      <c r="B17" s="121">
        <f>Control_5 Open_time</f>
        <v>40005.586111111108</v>
      </c>
      <c r="C17" s="121">
        <f>Control_5 Close_time</f>
        <v>40005.999305555553</v>
      </c>
      <c r="D17" s="122"/>
      <c r="E17" s="123" t="str">
        <f>IF(ISBLANK(Control_5 Establishment_3),"",Control_5 Establishment_3)</f>
        <v>Parksville</v>
      </c>
      <c r="F17" s="23"/>
      <c r="G17" s="22"/>
      <c r="H17" s="101" t="s">
        <v>178</v>
      </c>
      <c r="L17" s="107"/>
      <c r="M17" s="59"/>
      <c r="N17" s="59"/>
      <c r="O17" s="59"/>
      <c r="P17" s="59"/>
      <c r="Q17" s="59"/>
      <c r="R17" s="59"/>
      <c r="S17" s="59"/>
    </row>
    <row r="18" spans="1:21" ht="36" customHeight="1" thickBot="1">
      <c r="A18" s="114"/>
      <c r="B18" s="115">
        <f>Control_6 Open_time</f>
        <v>40005.686111111114</v>
      </c>
      <c r="C18" s="115">
        <f>Control_6 Close_time</f>
        <v>40006.213888888888</v>
      </c>
      <c r="D18" s="124"/>
      <c r="E18" s="117" t="str">
        <f>IF(ISBLANK(Control_6 Establishment_1),"",Control_6 Establishment_1)</f>
        <v>7-11</v>
      </c>
      <c r="F18" s="21"/>
      <c r="G18" s="20"/>
      <c r="H18" s="101" t="s">
        <v>178</v>
      </c>
      <c r="J18" s="39" t="s">
        <v>280</v>
      </c>
      <c r="L18" s="108"/>
      <c r="M18" s="94"/>
      <c r="N18" s="94"/>
      <c r="O18" s="59"/>
      <c r="P18" s="58" t="s">
        <v>281</v>
      </c>
      <c r="Q18" s="109"/>
      <c r="R18" s="60"/>
      <c r="S18" s="60"/>
      <c r="T18" s="54"/>
    </row>
    <row r="19" spans="1:21" ht="36" customHeight="1">
      <c r="A19" s="118">
        <f>IF(ISBLANK(Distance Control_6),"",Control_6 Distance)</f>
        <v>346.89999999999992</v>
      </c>
      <c r="B19" s="119">
        <f>Control_6 Open_time</f>
        <v>40005.686111111114</v>
      </c>
      <c r="C19" s="119">
        <f>Control_6 Close_time</f>
        <v>40006.213888888888</v>
      </c>
      <c r="D19" s="117" t="str">
        <f>IF(ISBLANK(Locale Control_6),"",Locale Control_6)</f>
        <v>LADYSMITH</v>
      </c>
      <c r="E19" s="117" t="str">
        <f>IF(ISBLANK(Control_6 Establishment_2),"",Control_6 Establishment_2)</f>
        <v>435 Esplanade (Hwy #1)</v>
      </c>
      <c r="F19" s="21"/>
      <c r="G19" s="20"/>
      <c r="H19" s="101" t="s">
        <v>178</v>
      </c>
      <c r="L19" s="59"/>
      <c r="M19" s="59"/>
      <c r="N19" s="59"/>
      <c r="O19" s="59"/>
      <c r="P19" s="59"/>
      <c r="Q19" s="59"/>
      <c r="R19" s="59"/>
      <c r="S19" s="59"/>
    </row>
    <row r="20" spans="1:21" ht="36" customHeight="1" thickBot="1">
      <c r="A20" s="120"/>
      <c r="B20" s="121">
        <f>Control_6 Open_time</f>
        <v>40005.686111111114</v>
      </c>
      <c r="C20" s="121">
        <f>Control_6 Close_time</f>
        <v>40006.213888888888</v>
      </c>
      <c r="D20" s="122"/>
      <c r="E20" s="123" t="str">
        <f>IF(ISBLANK(Control_6 Establishment_3),"",Control_6 Establishment_3)</f>
        <v>Ladysmith</v>
      </c>
      <c r="F20" s="23"/>
      <c r="G20" s="22"/>
      <c r="H20" s="101" t="s">
        <v>178</v>
      </c>
      <c r="J20" s="46" t="s">
        <v>282</v>
      </c>
      <c r="K20" s="46"/>
      <c r="L20" s="61"/>
      <c r="M20" s="62"/>
      <c r="N20" s="61"/>
      <c r="O20" s="61"/>
      <c r="P20" s="61"/>
      <c r="Q20" s="61"/>
      <c r="R20" s="61"/>
      <c r="S20" s="61"/>
      <c r="T20" s="46"/>
    </row>
    <row r="21" spans="1:21" ht="36" customHeight="1">
      <c r="A21" s="114"/>
      <c r="B21" s="115">
        <f>Control_7 Open_time</f>
        <v>40005.762499999997</v>
      </c>
      <c r="C21" s="115">
        <f>Control_7 Close_time</f>
        <v>40006.375</v>
      </c>
      <c r="D21" s="124"/>
      <c r="E21" s="117" t="str">
        <f>IF(ISBLANK(Control_7 Establishment_1),"",Control_7 Establishment_1)</f>
        <v>Tim Horton's</v>
      </c>
      <c r="F21" s="21"/>
      <c r="G21" s="20"/>
      <c r="H21" s="101" t="s">
        <v>178</v>
      </c>
      <c r="J21" s="46" t="s">
        <v>283</v>
      </c>
      <c r="K21" s="46"/>
      <c r="L21" s="61"/>
      <c r="M21" s="61"/>
      <c r="N21" s="61"/>
      <c r="O21" s="61"/>
      <c r="P21" s="61"/>
      <c r="Q21" s="61"/>
      <c r="R21" s="61"/>
      <c r="S21" s="61"/>
      <c r="T21" s="46"/>
    </row>
    <row r="22" spans="1:21" ht="36" customHeight="1">
      <c r="A22" s="118">
        <f>IF(ISBLANK(Distance Control_7),"",Control_7 Distance)</f>
        <v>405.2</v>
      </c>
      <c r="B22" s="119">
        <f>Control_7 Open_time</f>
        <v>40005.762499999997</v>
      </c>
      <c r="C22" s="119">
        <f>Control_7 Close_time</f>
        <v>40006.375</v>
      </c>
      <c r="D22" s="117" t="str">
        <f>IF(ISBLANK(Locale Control_7),"",Locale Control_7)</f>
        <v>MILL BAY</v>
      </c>
      <c r="E22" s="117" t="str">
        <f>IF(ISBLANK(Control_7 Establishment_2),"",Control_7 Establishment_2)</f>
        <v>Deloume @ Hwy #1</v>
      </c>
      <c r="F22" s="21"/>
      <c r="G22" s="20"/>
      <c r="H22" s="101" t="s">
        <v>178</v>
      </c>
      <c r="L22" s="59"/>
      <c r="M22" s="59"/>
      <c r="N22" s="59"/>
      <c r="O22" s="59"/>
      <c r="P22" s="59"/>
      <c r="Q22" s="59"/>
      <c r="R22" s="59"/>
      <c r="S22" s="59"/>
    </row>
    <row r="23" spans="1:21" ht="36" customHeight="1" thickBot="1">
      <c r="A23" s="120"/>
      <c r="B23" s="121">
        <f>Control_7 Open_time</f>
        <v>40005.762499999997</v>
      </c>
      <c r="C23" s="121">
        <f>Control_7 Close_time</f>
        <v>40006.375</v>
      </c>
      <c r="D23" s="122"/>
      <c r="E23" s="123" t="str">
        <f>IF(ISBLANK(Control_7 Establishment_3),"",Control_7 Establishment_3)</f>
        <v>Mill Bay</v>
      </c>
      <c r="F23" s="23"/>
      <c r="G23" s="22"/>
      <c r="H23" s="101" t="s">
        <v>178</v>
      </c>
      <c r="J23" s="51" t="s">
        <v>284</v>
      </c>
      <c r="K23" s="51"/>
      <c r="L23" s="63"/>
      <c r="M23" s="63"/>
      <c r="N23" s="63"/>
      <c r="O23" s="63"/>
      <c r="P23" s="63"/>
      <c r="Q23" s="63"/>
      <c r="R23" s="63"/>
      <c r="S23" s="63"/>
      <c r="T23" s="51"/>
    </row>
    <row r="24" spans="1:21" ht="36" customHeight="1" thickBot="1">
      <c r="A24" s="114"/>
      <c r="B24" s="115" t="str">
        <f>Control_8 Open_time</f>
        <v/>
      </c>
      <c r="C24" s="115" t="str">
        <f>Control_8 Close_time</f>
        <v/>
      </c>
      <c r="D24" s="124"/>
      <c r="E24" s="117" t="str">
        <f>IF(ISBLANK(Control_8 Establishment_1),"",Control_8 Establishment_1)</f>
        <v/>
      </c>
      <c r="F24" s="21"/>
      <c r="G24" s="20"/>
      <c r="H24" s="101" t="s">
        <v>178</v>
      </c>
      <c r="J24" s="39" t="s">
        <v>285</v>
      </c>
      <c r="K24" s="47">
        <v>41846</v>
      </c>
      <c r="L24" s="64"/>
      <c r="M24" s="64"/>
      <c r="N24" s="59"/>
      <c r="O24" s="58" t="s">
        <v>286</v>
      </c>
      <c r="P24" s="59"/>
      <c r="Q24" s="60"/>
      <c r="R24" s="60"/>
      <c r="S24" s="60"/>
      <c r="T24" s="45"/>
    </row>
    <row r="25" spans="1:21" ht="36" customHeight="1" thickBot="1">
      <c r="A25" s="118" t="str">
        <f>IF(ISBLANK(Distance Control_8),"",Control_8 Distance)</f>
        <v/>
      </c>
      <c r="B25" s="119" t="str">
        <f>Control_8 Open_time</f>
        <v/>
      </c>
      <c r="C25" s="119" t="str">
        <f>Control_8 Close_time</f>
        <v/>
      </c>
      <c r="D25" s="117" t="str">
        <f>IF(ISBLANK(Locale Control_8),"",Locale Control_8)</f>
        <v>SECRET</v>
      </c>
      <c r="E25" s="117" t="str">
        <f>IF(ISBLANK(Control_8 Establishment_2),"",Control_8 Establishment_2)</f>
        <v/>
      </c>
      <c r="F25" s="21"/>
      <c r="G25" s="20"/>
      <c r="H25" s="101" t="s">
        <v>178</v>
      </c>
      <c r="L25" s="59"/>
      <c r="M25" s="59"/>
      <c r="N25" s="59"/>
      <c r="O25" s="58" t="s">
        <v>287</v>
      </c>
      <c r="P25" s="59"/>
      <c r="Q25" s="60"/>
      <c r="R25" s="60"/>
      <c r="S25" s="60"/>
      <c r="T25" s="45"/>
    </row>
    <row r="26" spans="1:21" ht="36" customHeight="1" thickBot="1">
      <c r="A26" s="120"/>
      <c r="B26" s="121" t="str">
        <f>Control_8 Open_time</f>
        <v/>
      </c>
      <c r="C26" s="121" t="str">
        <f>Control_8 Close_time</f>
        <v/>
      </c>
      <c r="D26" s="122"/>
      <c r="E26" s="123" t="str">
        <f>IF(ISBLANK(Control_8 Establishment_3),"",Control_8 Establishment_3)</f>
        <v/>
      </c>
      <c r="F26" s="23"/>
      <c r="G26" s="22"/>
      <c r="H26" s="101" t="s">
        <v>178</v>
      </c>
      <c r="J26" s="45"/>
      <c r="K26" s="45"/>
      <c r="L26" s="60"/>
      <c r="M26" s="60"/>
      <c r="N26" s="59"/>
      <c r="O26" s="58" t="s">
        <v>288</v>
      </c>
      <c r="P26" s="59"/>
      <c r="Q26" s="60"/>
      <c r="R26" s="60"/>
      <c r="S26" s="60"/>
      <c r="T26" s="45"/>
    </row>
    <row r="27" spans="1:21" ht="36" customHeight="1">
      <c r="A27" s="114"/>
      <c r="B27" s="115" t="str">
        <f>Control_9 Open_time</f>
        <v/>
      </c>
      <c r="C27" s="115" t="str">
        <f>Control_9 Close_time</f>
        <v/>
      </c>
      <c r="D27" s="124"/>
      <c r="E27" s="117" t="str">
        <f>IF(ISBLANK(Control_9 Establishment_1),"",Control_9 Establishment_1)</f>
        <v/>
      </c>
      <c r="F27" s="21"/>
      <c r="G27" s="20"/>
      <c r="H27" s="101" t="s">
        <v>178</v>
      </c>
      <c r="J27" s="48" t="s">
        <v>289</v>
      </c>
      <c r="K27" s="48"/>
      <c r="L27" s="65"/>
      <c r="M27" s="65"/>
      <c r="N27" s="59"/>
      <c r="O27" s="59"/>
      <c r="P27" s="59"/>
      <c r="Q27" s="59"/>
      <c r="R27" s="59"/>
      <c r="S27" s="59"/>
    </row>
    <row r="28" spans="1:21" ht="36" customHeight="1" thickBot="1">
      <c r="A28" s="118" t="str">
        <f>IF(ISBLANK(Distance Control_9),"",Control_9 Distance)</f>
        <v/>
      </c>
      <c r="B28" s="119" t="str">
        <f>Control_9 Open_time</f>
        <v/>
      </c>
      <c r="C28" s="119" t="str">
        <f>Control_9 Close_time</f>
        <v/>
      </c>
      <c r="D28" s="117" t="str">
        <f>IF(ISBLANK(Locale Control_9),"",Locale Control_9)</f>
        <v>SECRET</v>
      </c>
      <c r="E28" s="117" t="str">
        <f>IF(ISBLANK(Control_9 Establishment_2),"",Control_9 Establishment_2)</f>
        <v/>
      </c>
      <c r="F28" s="21"/>
      <c r="G28" s="20"/>
      <c r="H28" s="101" t="s">
        <v>178</v>
      </c>
      <c r="L28" s="63" t="s">
        <v>42</v>
      </c>
      <c r="M28" s="63"/>
      <c r="N28" s="63"/>
      <c r="O28" s="63"/>
      <c r="P28" s="63"/>
      <c r="Q28" s="63"/>
      <c r="R28" s="59"/>
      <c r="S28" s="59"/>
    </row>
    <row r="29" spans="1:21" ht="36" customHeight="1" thickBot="1">
      <c r="A29" s="120"/>
      <c r="B29" s="121" t="str">
        <f>Control_9 Open_time</f>
        <v/>
      </c>
      <c r="C29" s="121" t="str">
        <f>Control_9 Close_time</f>
        <v/>
      </c>
      <c r="D29" s="122"/>
      <c r="E29" s="123" t="str">
        <f>IF(ISBLANK(Control_9 Establishment_3),"",Control_9 Establishment_3)</f>
        <v/>
      </c>
      <c r="F29" s="23"/>
      <c r="G29" s="22"/>
      <c r="H29" s="101" t="s">
        <v>178</v>
      </c>
      <c r="K29" s="49"/>
      <c r="L29" s="66"/>
      <c r="M29" s="66"/>
      <c r="N29" s="67"/>
      <c r="O29" s="68"/>
      <c r="P29" s="66"/>
      <c r="Q29" s="66"/>
      <c r="R29" s="67"/>
      <c r="S29" s="247" t="s">
        <v>300</v>
      </c>
      <c r="T29" s="248"/>
    </row>
    <row r="30" spans="1:21" ht="36" customHeight="1">
      <c r="A30" s="114"/>
      <c r="B30" s="115" t="str">
        <f>Control_10 Open_time</f>
        <v/>
      </c>
      <c r="C30" s="115" t="str">
        <f>Control_10 Close_time</f>
        <v/>
      </c>
      <c r="D30" s="124"/>
      <c r="E30" s="117" t="str">
        <f>IF(ISBLANK(Control_10 Establishment_1),"",Control_10 Establishment_1)</f>
        <v/>
      </c>
      <c r="F30" s="21"/>
      <c r="G30" s="20"/>
      <c r="H30" s="101" t="s">
        <v>178</v>
      </c>
      <c r="K30" s="52"/>
      <c r="L30" s="69"/>
      <c r="M30" s="69"/>
      <c r="N30" s="70"/>
      <c r="O30" s="71"/>
      <c r="P30" s="69"/>
      <c r="Q30" s="69"/>
      <c r="R30" s="70"/>
      <c r="S30" s="247"/>
      <c r="T30" s="248"/>
    </row>
    <row r="31" spans="1:21" ht="36" customHeight="1" thickBot="1">
      <c r="A31" s="118" t="str">
        <f>IF(ISBLANK(Distance Control_10),"",Control_10 Distance)</f>
        <v/>
      </c>
      <c r="B31" s="119" t="str">
        <f>Control_10 Open_time</f>
        <v/>
      </c>
      <c r="C31" s="119" t="str">
        <f>Control_10 Close_time</f>
        <v/>
      </c>
      <c r="D31" s="117" t="str">
        <f>IF(ISBLANK(Locale Control_10),"",Locale Control_10)</f>
        <v>SECRET</v>
      </c>
      <c r="E31" s="117" t="str">
        <f>IF(ISBLANK(Control_10 Establishment_2),"",Control_10 Establishment_2)</f>
        <v/>
      </c>
      <c r="F31" s="21"/>
      <c r="G31" s="20"/>
      <c r="H31" s="101" t="s">
        <v>178</v>
      </c>
      <c r="K31" s="50"/>
      <c r="L31" s="60"/>
      <c r="M31" s="60"/>
      <c r="N31" s="72"/>
      <c r="O31" s="73"/>
      <c r="P31" s="60"/>
      <c r="Q31" s="60"/>
      <c r="R31" s="72"/>
      <c r="S31" s="59"/>
      <c r="U31" s="46"/>
    </row>
    <row r="32" spans="1:21" ht="36" customHeight="1" thickBot="1">
      <c r="A32" s="120"/>
      <c r="B32" s="121" t="str">
        <f>Control_10 Open_time</f>
        <v/>
      </c>
      <c r="C32" s="121" t="str">
        <f>Control_10 Close_time</f>
        <v/>
      </c>
      <c r="D32" s="122"/>
      <c r="E32" s="123" t="str">
        <f>IF(ISBLANK(Control_10 Establishment_3),"",Control_10 Establishment_3)</f>
        <v/>
      </c>
      <c r="F32" s="23"/>
      <c r="G32" s="22"/>
      <c r="H32" s="101" t="s">
        <v>178</v>
      </c>
      <c r="L32" s="58" t="s">
        <v>221</v>
      </c>
      <c r="M32" s="59"/>
      <c r="N32" s="57" t="s">
        <v>299</v>
      </c>
      <c r="O32" s="57"/>
      <c r="P32" s="57"/>
      <c r="Q32" s="59"/>
      <c r="R32" s="59"/>
      <c r="S32" s="59"/>
      <c r="U32" s="46"/>
    </row>
    <row r="33" spans="1:1" ht="36" customHeight="1">
      <c r="A33"/>
    </row>
    <row r="34" spans="1:1" ht="36" customHeight="1">
      <c r="A34"/>
    </row>
    <row r="35" spans="1:1" ht="36" customHeight="1">
      <c r="A35"/>
    </row>
    <row r="36" spans="1:1" ht="36" customHeight="1">
      <c r="A36"/>
    </row>
    <row r="37" spans="1:1" ht="36" customHeight="1">
      <c r="A37"/>
    </row>
    <row r="38" spans="1:1" ht="36" customHeight="1">
      <c r="A38"/>
    </row>
    <row r="39" spans="1:1" ht="36" customHeight="1">
      <c r="A39"/>
    </row>
    <row r="40" spans="1:1" ht="36" customHeight="1">
      <c r="A40"/>
    </row>
  </sheetData>
  <mergeCells count="1">
    <mergeCell ref="S29:T30"/>
  </mergeCells>
  <phoneticPr fontId="16" type="noConversion"/>
  <pageMargins left="0.19685039370078741" right="0.19685039370078741" top="0.19685039370078741" bottom="0.19685039370078741" header="0.51181102362204722" footer="0.51181102362204722"/>
  <pageSetup scale="47" orientation="landscape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R38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8" sqref="C18"/>
    </sheetView>
  </sheetViews>
  <sheetFormatPr baseColWidth="10" defaultColWidth="11.5" defaultRowHeight="12" x14ac:dyDescent="0"/>
  <cols>
    <col min="1" max="1" width="3" customWidth="1"/>
    <col min="2" max="2" width="14.5" customWidth="1"/>
    <col min="3" max="3" width="15" customWidth="1"/>
    <col min="4" max="4" width="6.1640625" bestFit="1" customWidth="1"/>
    <col min="5" max="6" width="30.6640625" customWidth="1"/>
    <col min="7" max="7" width="15.6640625" customWidth="1"/>
    <col min="8" max="8" width="9" bestFit="1" customWidth="1"/>
    <col min="9" max="9" width="8" bestFit="1" customWidth="1"/>
    <col min="10" max="10" width="11.83203125" bestFit="1" customWidth="1"/>
    <col min="11" max="11" width="16" bestFit="1" customWidth="1"/>
    <col min="12" max="12" width="15.5" bestFit="1" customWidth="1"/>
    <col min="13" max="13" width="13.33203125" bestFit="1" customWidth="1"/>
    <col min="14" max="14" width="34.1640625" customWidth="1"/>
    <col min="15" max="16" width="9.5" customWidth="1"/>
    <col min="17" max="17" width="9" customWidth="1"/>
  </cols>
  <sheetData>
    <row r="1" spans="1:18" ht="25" thickBot="1">
      <c r="A1" s="132"/>
      <c r="B1" s="133" t="s">
        <v>222</v>
      </c>
      <c r="C1" s="133" t="s">
        <v>223</v>
      </c>
      <c r="D1" s="133" t="s">
        <v>224</v>
      </c>
      <c r="E1" s="133" t="s">
        <v>225</v>
      </c>
      <c r="F1" s="133" t="s">
        <v>226</v>
      </c>
      <c r="G1" s="133" t="s">
        <v>186</v>
      </c>
      <c r="H1" s="134" t="s">
        <v>187</v>
      </c>
      <c r="I1" s="133" t="s">
        <v>188</v>
      </c>
      <c r="J1" s="133" t="s">
        <v>189</v>
      </c>
      <c r="K1" s="91" t="s">
        <v>227</v>
      </c>
      <c r="L1" s="91" t="s">
        <v>228</v>
      </c>
      <c r="M1" s="92" t="s">
        <v>229</v>
      </c>
      <c r="N1" s="135" t="s">
        <v>281</v>
      </c>
      <c r="O1" s="112" t="s">
        <v>230</v>
      </c>
      <c r="P1" s="112" t="s">
        <v>201</v>
      </c>
      <c r="Q1" s="112" t="s">
        <v>231</v>
      </c>
      <c r="R1" s="112" t="s">
        <v>232</v>
      </c>
    </row>
    <row r="2" spans="1:18">
      <c r="A2" s="132">
        <v>1</v>
      </c>
      <c r="B2" s="136"/>
      <c r="C2" s="136"/>
      <c r="D2" s="136"/>
      <c r="E2" s="200"/>
      <c r="F2" s="136"/>
      <c r="G2" s="136"/>
      <c r="H2" s="243"/>
      <c r="I2" s="136"/>
      <c r="J2" s="136"/>
      <c r="K2" s="137"/>
      <c r="L2" s="137"/>
      <c r="M2" s="137"/>
      <c r="N2" s="175"/>
      <c r="O2" s="138"/>
      <c r="P2" s="196"/>
      <c r="Q2" s="138"/>
      <c r="R2" s="138"/>
    </row>
    <row r="3" spans="1:18">
      <c r="A3" s="104">
        <v>2</v>
      </c>
      <c r="B3" s="102"/>
      <c r="C3" s="102"/>
      <c r="D3" s="102"/>
      <c r="E3" s="197"/>
      <c r="F3" s="102"/>
      <c r="G3" s="102"/>
      <c r="H3" s="102"/>
      <c r="I3" s="102"/>
      <c r="J3" s="102"/>
      <c r="K3" s="198"/>
      <c r="L3" s="103"/>
      <c r="M3" s="103"/>
      <c r="N3" s="174"/>
      <c r="O3" s="110"/>
      <c r="P3" s="111"/>
      <c r="Q3" s="110"/>
      <c r="R3" s="111"/>
    </row>
    <row r="4" spans="1:18">
      <c r="A4" s="132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3"/>
      <c r="L4" s="103"/>
      <c r="M4" s="103"/>
      <c r="N4" s="174"/>
      <c r="O4" s="110"/>
      <c r="P4" s="111"/>
      <c r="Q4" s="110"/>
      <c r="R4" s="111"/>
    </row>
    <row r="5" spans="1:18">
      <c r="A5" s="104">
        <v>4</v>
      </c>
      <c r="B5" s="102"/>
      <c r="C5" s="102"/>
      <c r="D5" s="102"/>
      <c r="E5" s="194"/>
      <c r="F5" s="102"/>
      <c r="G5" s="102"/>
      <c r="H5" s="102"/>
      <c r="I5" s="102"/>
      <c r="J5" s="194"/>
      <c r="K5" s="195"/>
      <c r="L5" s="103"/>
      <c r="M5" s="103"/>
      <c r="N5" s="102"/>
      <c r="O5" s="111"/>
      <c r="P5" s="110"/>
      <c r="Q5" s="111"/>
      <c r="R5" s="111"/>
    </row>
    <row r="6" spans="1:18">
      <c r="A6" s="132">
        <v>5</v>
      </c>
      <c r="B6" s="102"/>
      <c r="C6" s="102"/>
      <c r="D6" s="102"/>
      <c r="E6" s="102"/>
      <c r="F6" s="102"/>
      <c r="G6" s="102"/>
      <c r="H6" s="102"/>
      <c r="I6" s="102"/>
      <c r="J6" s="102"/>
      <c r="K6" s="103"/>
      <c r="L6" s="103"/>
      <c r="M6" s="103"/>
      <c r="N6" s="102"/>
      <c r="O6" s="111"/>
      <c r="P6" s="111"/>
      <c r="Q6" s="111"/>
      <c r="R6" s="111"/>
    </row>
    <row r="7" spans="1:18">
      <c r="A7" s="104">
        <v>6</v>
      </c>
      <c r="B7" s="102"/>
      <c r="C7" s="102"/>
      <c r="D7" s="102"/>
      <c r="E7" s="102"/>
      <c r="F7" s="102"/>
      <c r="G7" s="102"/>
      <c r="H7" s="102"/>
      <c r="I7" s="102"/>
      <c r="J7" s="102"/>
      <c r="K7" s="103"/>
      <c r="L7" s="103"/>
      <c r="M7" s="103"/>
      <c r="N7" s="102"/>
      <c r="O7" s="111"/>
      <c r="P7" s="110"/>
      <c r="Q7" s="111"/>
      <c r="R7" s="111"/>
    </row>
    <row r="8" spans="1:18">
      <c r="A8" s="132">
        <v>7</v>
      </c>
      <c r="B8" s="102"/>
      <c r="C8" s="102"/>
      <c r="D8" s="102"/>
      <c r="E8" s="104"/>
      <c r="F8" s="102"/>
      <c r="G8" s="104"/>
      <c r="H8" s="102"/>
      <c r="I8" s="102"/>
      <c r="K8" s="199"/>
      <c r="L8" s="103"/>
      <c r="M8" s="103"/>
      <c r="N8" s="102"/>
      <c r="O8" s="111"/>
      <c r="P8" s="110"/>
      <c r="Q8" s="111"/>
      <c r="R8" s="111"/>
    </row>
    <row r="9" spans="1:18">
      <c r="A9" s="104">
        <v>8</v>
      </c>
      <c r="B9" s="102"/>
      <c r="C9" s="102"/>
      <c r="D9" s="102"/>
      <c r="E9" s="104"/>
      <c r="F9" s="102"/>
      <c r="G9" s="102"/>
      <c r="H9" s="102"/>
      <c r="I9" s="102"/>
      <c r="J9" s="202"/>
      <c r="K9" s="103"/>
      <c r="L9" s="103"/>
      <c r="M9" s="103"/>
      <c r="N9" s="174"/>
      <c r="O9" s="111"/>
      <c r="P9" s="111"/>
      <c r="Q9" s="111"/>
      <c r="R9" s="111"/>
    </row>
    <row r="10" spans="1:18">
      <c r="A10" s="132">
        <v>9</v>
      </c>
      <c r="B10" s="102"/>
      <c r="C10" s="102"/>
      <c r="D10" s="102"/>
      <c r="E10" s="201"/>
      <c r="F10" s="102"/>
      <c r="G10" s="102"/>
      <c r="H10" s="102"/>
      <c r="I10" s="102"/>
      <c r="J10" s="102"/>
      <c r="K10" s="103"/>
      <c r="L10" s="103"/>
      <c r="M10" s="103"/>
      <c r="N10" s="174"/>
      <c r="O10" s="110"/>
      <c r="P10" s="110"/>
      <c r="Q10" s="110"/>
      <c r="R10" s="111"/>
    </row>
    <row r="11" spans="1:18">
      <c r="A11" s="104">
        <v>10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3"/>
      <c r="L11" s="103"/>
      <c r="M11" s="103"/>
      <c r="N11" s="102"/>
      <c r="O11" s="111"/>
      <c r="P11" s="111"/>
      <c r="Q11" s="111"/>
      <c r="R11" s="111"/>
    </row>
    <row r="12" spans="1:18">
      <c r="A12" s="132">
        <v>11</v>
      </c>
      <c r="B12" s="102"/>
      <c r="C12" s="102"/>
      <c r="D12" s="102"/>
      <c r="E12" s="197"/>
      <c r="F12" s="102"/>
      <c r="G12" s="197"/>
      <c r="H12" s="102"/>
      <c r="I12" s="102"/>
      <c r="J12" s="197"/>
      <c r="K12" s="197"/>
      <c r="L12" s="103"/>
      <c r="M12" s="103"/>
      <c r="N12" s="102"/>
      <c r="O12" s="111"/>
      <c r="P12" s="110"/>
      <c r="Q12" s="111"/>
      <c r="R12" s="111"/>
    </row>
    <row r="13" spans="1:18">
      <c r="A13" s="104">
        <v>12</v>
      </c>
      <c r="B13" s="102"/>
      <c r="C13" s="102"/>
      <c r="D13" s="102"/>
      <c r="E13" s="197"/>
      <c r="F13" s="102"/>
      <c r="G13" s="102"/>
      <c r="H13" s="102"/>
      <c r="I13" s="102"/>
      <c r="J13" s="102"/>
      <c r="K13" s="103"/>
      <c r="L13" s="103"/>
      <c r="M13" s="103"/>
      <c r="N13" s="102"/>
      <c r="O13" s="110"/>
      <c r="P13" s="110"/>
      <c r="Q13" s="110"/>
      <c r="R13" s="111"/>
    </row>
    <row r="14" spans="1:18">
      <c r="A14" s="132">
        <v>13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3"/>
      <c r="L14" s="103"/>
      <c r="M14" s="103"/>
      <c r="N14" s="102"/>
      <c r="O14" s="111"/>
      <c r="P14" s="110"/>
      <c r="Q14" s="111"/>
      <c r="R14" s="111"/>
    </row>
    <row r="15" spans="1:18">
      <c r="A15" s="104">
        <v>14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3"/>
      <c r="L15" s="103"/>
      <c r="M15" s="103"/>
      <c r="N15" s="102"/>
      <c r="O15" s="111"/>
      <c r="P15" s="110"/>
      <c r="Q15" s="111"/>
      <c r="R15" s="111"/>
    </row>
    <row r="16" spans="1:18">
      <c r="A16" s="132">
        <v>15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3"/>
      <c r="L16" s="103"/>
      <c r="M16" s="103"/>
      <c r="N16" s="102"/>
      <c r="O16" s="111"/>
      <c r="P16" s="111"/>
      <c r="Q16" s="111"/>
      <c r="R16" s="111"/>
    </row>
    <row r="17" spans="1:18">
      <c r="A17" s="104">
        <v>16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9"/>
      <c r="L17" s="103"/>
      <c r="M17" s="103"/>
      <c r="N17" s="102"/>
      <c r="O17" s="111"/>
      <c r="P17" s="110"/>
      <c r="Q17" s="111"/>
      <c r="R17" s="111"/>
    </row>
    <row r="18" spans="1:18">
      <c r="A18" s="104"/>
      <c r="B18" s="102"/>
      <c r="C18" s="102"/>
      <c r="D18" s="102"/>
      <c r="E18" s="113"/>
      <c r="F18" s="102"/>
      <c r="G18" s="102"/>
      <c r="H18" s="102"/>
      <c r="I18" s="102"/>
      <c r="J18" s="102"/>
      <c r="K18" s="103"/>
      <c r="L18" s="103"/>
      <c r="M18" s="103"/>
      <c r="N18" s="102"/>
      <c r="O18" s="111"/>
      <c r="P18" s="110"/>
      <c r="Q18" s="111"/>
      <c r="R18" s="111"/>
    </row>
    <row r="19" spans="1:18">
      <c r="A19" s="104"/>
      <c r="B19" s="102"/>
      <c r="C19" s="102"/>
      <c r="D19" s="102"/>
      <c r="E19" s="102"/>
      <c r="F19" s="102"/>
      <c r="G19" s="102"/>
      <c r="H19" s="102"/>
      <c r="I19" s="102"/>
      <c r="J19" s="102"/>
      <c r="K19" s="103"/>
      <c r="L19" s="103"/>
      <c r="M19" s="103"/>
      <c r="N19" s="102"/>
      <c r="O19" s="111"/>
      <c r="P19" s="110"/>
      <c r="Q19" s="111"/>
      <c r="R19" s="111"/>
    </row>
    <row r="20" spans="1:18">
      <c r="A20" s="104"/>
      <c r="B20" s="102"/>
      <c r="C20" s="102"/>
      <c r="D20" s="102"/>
      <c r="E20" s="102"/>
      <c r="F20" s="102"/>
      <c r="G20" s="102"/>
      <c r="H20" s="102"/>
      <c r="I20" s="102"/>
      <c r="J20" s="102"/>
      <c r="K20" s="103"/>
      <c r="L20" s="103"/>
      <c r="M20" s="103"/>
      <c r="N20" s="102"/>
      <c r="O20" s="111"/>
      <c r="P20" s="110"/>
      <c r="Q20" s="111"/>
      <c r="R20" s="111"/>
    </row>
    <row r="21" spans="1:18">
      <c r="A21" s="104"/>
      <c r="B21" s="102"/>
      <c r="C21" s="102"/>
      <c r="D21" s="102"/>
      <c r="E21" s="102"/>
      <c r="F21" s="102"/>
      <c r="G21" s="102"/>
      <c r="H21" s="102"/>
      <c r="I21" s="102"/>
      <c r="J21" s="102"/>
      <c r="K21" s="103"/>
      <c r="L21" s="103"/>
      <c r="M21" s="103"/>
      <c r="N21" s="102"/>
      <c r="O21" s="111"/>
      <c r="P21" s="111"/>
      <c r="Q21" s="111"/>
      <c r="R21" s="111"/>
    </row>
    <row r="22" spans="1:18">
      <c r="A22" s="104"/>
      <c r="B22" s="102"/>
      <c r="C22" s="102"/>
      <c r="D22" s="102"/>
      <c r="E22" s="102"/>
      <c r="F22" s="102"/>
      <c r="G22" s="102"/>
      <c r="H22" s="102"/>
      <c r="I22" s="102"/>
      <c r="J22" s="102"/>
      <c r="K22" s="103"/>
      <c r="L22" s="103"/>
      <c r="M22" s="103"/>
      <c r="N22" s="102"/>
      <c r="O22" s="111"/>
      <c r="P22" s="111"/>
      <c r="Q22" s="111"/>
      <c r="R22" s="111"/>
    </row>
    <row r="23" spans="1:18">
      <c r="A23" s="104"/>
      <c r="B23" s="102"/>
      <c r="C23" s="102"/>
      <c r="D23" s="102"/>
      <c r="E23" s="102"/>
      <c r="F23" s="102"/>
      <c r="G23" s="102"/>
      <c r="H23" s="102"/>
      <c r="I23" s="102"/>
      <c r="J23" s="102"/>
      <c r="K23" s="103"/>
      <c r="L23" s="103"/>
      <c r="M23" s="103"/>
      <c r="N23" s="102"/>
      <c r="O23" s="111"/>
      <c r="P23" s="111"/>
      <c r="Q23" s="111"/>
      <c r="R23" s="111"/>
    </row>
    <row r="24" spans="1:18">
      <c r="A24" s="104"/>
      <c r="B24" s="102"/>
      <c r="C24" s="102"/>
      <c r="D24" s="102"/>
      <c r="E24" s="102"/>
      <c r="F24" s="102"/>
      <c r="G24" s="102"/>
      <c r="H24" s="102"/>
      <c r="I24" s="102"/>
      <c r="J24" s="102"/>
      <c r="K24" s="103"/>
      <c r="L24" s="103"/>
      <c r="M24" s="103"/>
      <c r="N24" s="102"/>
      <c r="O24" s="111"/>
      <c r="P24" s="110"/>
      <c r="Q24" s="111"/>
      <c r="R24" s="111"/>
    </row>
    <row r="25" spans="1:18">
      <c r="A25" s="104"/>
      <c r="B25" s="102"/>
      <c r="C25" s="102"/>
      <c r="D25" s="102"/>
      <c r="E25" s="102"/>
      <c r="F25" s="102"/>
      <c r="G25" s="102"/>
      <c r="H25" s="102"/>
      <c r="I25" s="102"/>
      <c r="J25" s="102"/>
      <c r="K25" s="103"/>
      <c r="L25" s="103"/>
      <c r="M25" s="103"/>
      <c r="N25" s="102"/>
      <c r="O25" s="111"/>
      <c r="P25" s="111"/>
      <c r="Q25" s="111"/>
      <c r="R25" s="111"/>
    </row>
    <row r="26" spans="1:18">
      <c r="A26" s="104"/>
      <c r="B26" s="102"/>
      <c r="C26" s="102"/>
      <c r="D26" s="102"/>
      <c r="E26" s="102"/>
      <c r="F26" s="102"/>
      <c r="G26" s="102"/>
      <c r="H26" s="102"/>
      <c r="I26" s="102"/>
      <c r="J26" s="102"/>
      <c r="K26" s="103"/>
      <c r="L26" s="103"/>
      <c r="M26" s="103"/>
      <c r="N26" s="102"/>
      <c r="O26" s="111"/>
      <c r="P26" s="110"/>
      <c r="Q26" s="111"/>
      <c r="R26" s="111"/>
    </row>
    <row r="27" spans="1:18">
      <c r="A27" s="104"/>
      <c r="B27" s="102"/>
      <c r="C27" s="102"/>
      <c r="D27" s="102"/>
      <c r="E27" s="102"/>
      <c r="F27" s="102"/>
      <c r="G27" s="102"/>
      <c r="H27" s="102"/>
      <c r="I27" s="102"/>
      <c r="J27" s="102"/>
      <c r="K27" s="103"/>
      <c r="L27" s="103"/>
      <c r="M27" s="103"/>
      <c r="N27" s="102"/>
      <c r="O27" s="111"/>
      <c r="P27" s="110"/>
      <c r="Q27" s="111"/>
      <c r="R27" s="111"/>
    </row>
    <row r="28" spans="1:18">
      <c r="A28" s="104"/>
      <c r="B28" s="102"/>
      <c r="C28" s="102"/>
      <c r="D28" s="102"/>
      <c r="E28" s="102"/>
      <c r="F28" s="102"/>
      <c r="G28" s="102"/>
      <c r="H28" s="102"/>
      <c r="I28" s="102"/>
      <c r="J28" s="102"/>
      <c r="K28" s="103"/>
      <c r="L28" s="103"/>
      <c r="M28" s="103"/>
      <c r="N28" s="102"/>
      <c r="O28" s="111"/>
      <c r="P28" s="110"/>
      <c r="Q28" s="111"/>
      <c r="R28" s="111"/>
    </row>
    <row r="29" spans="1:18">
      <c r="A29" s="104"/>
      <c r="B29" s="102"/>
      <c r="C29" s="102"/>
      <c r="D29" s="102"/>
      <c r="E29" s="102"/>
      <c r="F29" s="102"/>
      <c r="G29" s="102"/>
      <c r="H29" s="102"/>
      <c r="I29" s="102"/>
      <c r="J29" s="102"/>
      <c r="K29" s="103"/>
      <c r="L29" s="103"/>
      <c r="M29" s="103"/>
      <c r="N29" s="102"/>
      <c r="O29" s="111"/>
      <c r="P29" s="110"/>
      <c r="Q29" s="111"/>
      <c r="R29" s="111"/>
    </row>
    <row r="30" spans="1:18">
      <c r="A30" s="104"/>
      <c r="B30" s="102"/>
      <c r="C30" s="102"/>
      <c r="D30" s="102"/>
      <c r="E30" s="102"/>
      <c r="F30" s="102"/>
      <c r="G30" s="102"/>
      <c r="H30" s="102"/>
      <c r="I30" s="102"/>
      <c r="J30" s="102"/>
      <c r="K30" s="103"/>
      <c r="L30" s="103"/>
      <c r="M30" s="103"/>
      <c r="N30" s="102"/>
      <c r="O30" s="111"/>
      <c r="P30" s="110"/>
      <c r="Q30" s="111"/>
      <c r="R30" s="111"/>
    </row>
    <row r="31" spans="1:18">
      <c r="A31" s="104"/>
      <c r="B31" s="102"/>
      <c r="C31" s="102"/>
      <c r="D31" s="102"/>
      <c r="E31" s="102"/>
      <c r="F31" s="102"/>
      <c r="G31" s="102"/>
      <c r="H31" s="102"/>
      <c r="I31" s="102"/>
      <c r="J31" s="102"/>
      <c r="K31" s="103"/>
      <c r="L31" s="103"/>
      <c r="M31" s="103"/>
      <c r="N31" s="102"/>
      <c r="O31" s="111"/>
      <c r="P31" s="110"/>
      <c r="Q31" s="111"/>
      <c r="R31" s="111"/>
    </row>
    <row r="32" spans="1:18">
      <c r="K32" s="93"/>
      <c r="L32" s="93"/>
      <c r="M32" s="93"/>
      <c r="O32" s="140"/>
      <c r="Q32" s="140"/>
      <c r="R32" s="140"/>
    </row>
    <row r="34" spans="16:16">
      <c r="P34" t="s">
        <v>121</v>
      </c>
    </row>
    <row r="35" spans="16:16">
      <c r="P35" t="s">
        <v>233</v>
      </c>
    </row>
    <row r="36" spans="16:16">
      <c r="P36" t="s">
        <v>234</v>
      </c>
    </row>
    <row r="37" spans="16:16">
      <c r="P37" t="s">
        <v>122</v>
      </c>
    </row>
    <row r="38" spans="16:16">
      <c r="P38" t="s">
        <v>200</v>
      </c>
    </row>
  </sheetData>
  <phoneticPr fontId="16" type="noConversion"/>
  <pageMargins left="0.75" right="0.75" top="1" bottom="1" header="0.5" footer="0.5"/>
  <pageSetup paperSize="9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CU103"/>
  <sheetViews>
    <sheetView tabSelected="1" zoomScale="90" zoomScaleNormal="90" zoomScalePageLayoutView="90" workbookViewId="0"/>
  </sheetViews>
  <sheetFormatPr baseColWidth="10" defaultColWidth="11.5" defaultRowHeight="12" x14ac:dyDescent="0"/>
  <cols>
    <col min="1" max="1" width="7" style="83" bestFit="1" customWidth="1"/>
    <col min="2" max="2" width="4.5" style="84" bestFit="1" customWidth="1"/>
    <col min="3" max="3" width="37.33203125" style="85" customWidth="1"/>
    <col min="4" max="4" width="5.5" style="83" customWidth="1"/>
    <col min="5" max="5" width="0.33203125" customWidth="1"/>
    <col min="6" max="6" width="6.5" style="83" customWidth="1"/>
    <col min="7" max="7" width="4.6640625" style="84" bestFit="1" customWidth="1"/>
    <col min="8" max="8" width="36.5" style="85" customWidth="1"/>
    <col min="9" max="9" width="6" style="83" customWidth="1"/>
    <col min="10" max="10" width="11.5" customWidth="1"/>
    <col min="11" max="11" width="3.6640625" bestFit="1" customWidth="1"/>
    <col min="12" max="12" width="23.83203125" bestFit="1" customWidth="1"/>
  </cols>
  <sheetData>
    <row r="1" spans="1:16" ht="39" customHeight="1" thickBot="1">
      <c r="A1" s="181" t="s">
        <v>239</v>
      </c>
      <c r="B1" s="182" t="s">
        <v>235</v>
      </c>
      <c r="C1" s="183" t="s">
        <v>240</v>
      </c>
      <c r="D1" s="184" t="s">
        <v>241</v>
      </c>
      <c r="F1" s="181" t="s">
        <v>239</v>
      </c>
      <c r="G1" s="182" t="s">
        <v>235</v>
      </c>
      <c r="H1" s="183" t="s">
        <v>240</v>
      </c>
      <c r="I1" s="184" t="s">
        <v>241</v>
      </c>
    </row>
    <row r="2" spans="1:16" ht="18" customHeight="1">
      <c r="A2" s="203"/>
      <c r="B2" s="204"/>
      <c r="C2" s="204" t="s">
        <v>68</v>
      </c>
      <c r="D2" s="205"/>
      <c r="E2" s="206"/>
      <c r="F2" s="207">
        <f>A21+D21</f>
        <v>51.199999999999996</v>
      </c>
      <c r="G2" s="208" t="s">
        <v>236</v>
      </c>
      <c r="H2" s="209" t="s">
        <v>194</v>
      </c>
      <c r="I2" s="210">
        <v>9.5</v>
      </c>
      <c r="K2" s="98"/>
      <c r="L2" s="99"/>
      <c r="M2" s="97"/>
    </row>
    <row r="3" spans="1:16" ht="15">
      <c r="A3" s="211"/>
      <c r="B3" s="212"/>
      <c r="C3" s="212" t="s">
        <v>67</v>
      </c>
      <c r="D3" s="213"/>
      <c r="E3" s="214"/>
      <c r="F3" s="215">
        <f t="shared" ref="F3:F8" si="0">F2+I2</f>
        <v>60.699999999999996</v>
      </c>
      <c r="G3" s="216" t="s">
        <v>236</v>
      </c>
      <c r="H3" s="217" t="s">
        <v>59</v>
      </c>
      <c r="I3" s="218">
        <v>2.1</v>
      </c>
      <c r="K3" s="98"/>
      <c r="L3" s="99"/>
      <c r="M3" s="97"/>
      <c r="N3" s="97"/>
      <c r="O3" s="98"/>
      <c r="P3" s="99"/>
    </row>
    <row r="4" spans="1:16" ht="15">
      <c r="A4" s="219"/>
      <c r="B4" s="216"/>
      <c r="C4" s="217"/>
      <c r="D4" s="215"/>
      <c r="E4" s="214"/>
      <c r="F4" s="215">
        <f t="shared" si="0"/>
        <v>62.8</v>
      </c>
      <c r="G4" s="216" t="s">
        <v>236</v>
      </c>
      <c r="H4" s="217" t="s">
        <v>35</v>
      </c>
      <c r="I4" s="218">
        <v>0.3</v>
      </c>
      <c r="N4" s="97"/>
      <c r="O4" s="98"/>
      <c r="P4" s="99"/>
    </row>
    <row r="5" spans="1:16" ht="15">
      <c r="A5" s="219">
        <v>0</v>
      </c>
      <c r="B5" s="216" t="s">
        <v>236</v>
      </c>
      <c r="C5" s="217" t="s">
        <v>30</v>
      </c>
      <c r="D5" s="215">
        <v>0</v>
      </c>
      <c r="E5" s="214"/>
      <c r="F5" s="215">
        <f t="shared" si="0"/>
        <v>63.099999999999994</v>
      </c>
      <c r="G5" s="216" t="s">
        <v>237</v>
      </c>
      <c r="H5" s="217" t="s">
        <v>43</v>
      </c>
      <c r="I5" s="218">
        <v>1.1000000000000001</v>
      </c>
      <c r="N5" s="97"/>
      <c r="O5" s="98"/>
      <c r="P5" s="99"/>
    </row>
    <row r="6" spans="1:16" ht="15">
      <c r="A6" s="219">
        <f t="shared" ref="A6:A13" si="1">A5+D5</f>
        <v>0</v>
      </c>
      <c r="B6" s="216" t="s">
        <v>237</v>
      </c>
      <c r="C6" s="217" t="s">
        <v>203</v>
      </c>
      <c r="D6" s="215">
        <v>0.2</v>
      </c>
      <c r="E6" s="214"/>
      <c r="F6" s="215">
        <f t="shared" si="0"/>
        <v>64.199999999999989</v>
      </c>
      <c r="G6" s="216" t="s">
        <v>237</v>
      </c>
      <c r="H6" s="214" t="s">
        <v>105</v>
      </c>
      <c r="I6" s="218">
        <v>0.1</v>
      </c>
      <c r="O6" s="98"/>
      <c r="P6" s="98"/>
    </row>
    <row r="7" spans="1:16" ht="15">
      <c r="A7" s="219">
        <f t="shared" si="1"/>
        <v>0.2</v>
      </c>
      <c r="B7" s="216" t="s">
        <v>237</v>
      </c>
      <c r="C7" s="217" t="s">
        <v>31</v>
      </c>
      <c r="D7" s="215">
        <v>1.4</v>
      </c>
      <c r="E7" s="214"/>
      <c r="F7" s="215">
        <f t="shared" si="0"/>
        <v>64.299999999999983</v>
      </c>
      <c r="G7" s="216" t="s">
        <v>217</v>
      </c>
      <c r="H7" s="217" t="s">
        <v>291</v>
      </c>
      <c r="I7" s="218">
        <v>1.9</v>
      </c>
      <c r="O7" s="98"/>
      <c r="P7" s="98"/>
    </row>
    <row r="8" spans="1:16" ht="15">
      <c r="A8" s="219">
        <f t="shared" si="1"/>
        <v>1.5999999999999999</v>
      </c>
      <c r="B8" s="216" t="s">
        <v>236</v>
      </c>
      <c r="C8" s="217" t="s">
        <v>191</v>
      </c>
      <c r="D8" s="215">
        <v>0.5</v>
      </c>
      <c r="E8" s="214"/>
      <c r="F8" s="215">
        <f t="shared" si="0"/>
        <v>66.199999999999989</v>
      </c>
      <c r="G8" s="216" t="s">
        <v>217</v>
      </c>
      <c r="H8" s="217" t="s">
        <v>292</v>
      </c>
      <c r="I8" s="218">
        <v>0</v>
      </c>
      <c r="O8" s="98"/>
      <c r="P8" s="99"/>
    </row>
    <row r="9" spans="1:16" ht="15">
      <c r="A9" s="219">
        <f t="shared" si="1"/>
        <v>2.0999999999999996</v>
      </c>
      <c r="B9" s="216" t="s">
        <v>237</v>
      </c>
      <c r="C9" s="217" t="s">
        <v>192</v>
      </c>
      <c r="D9" s="215">
        <v>6.1</v>
      </c>
      <c r="E9" s="214"/>
      <c r="F9" s="215">
        <f t="shared" ref="F9:F14" si="2">F8+I8</f>
        <v>66.199999999999989</v>
      </c>
      <c r="G9" s="216" t="s">
        <v>237</v>
      </c>
      <c r="H9" s="217" t="s">
        <v>168</v>
      </c>
      <c r="I9" s="218">
        <v>3.5</v>
      </c>
      <c r="O9" s="98"/>
      <c r="P9" s="99"/>
    </row>
    <row r="10" spans="1:16" ht="15">
      <c r="A10" s="219">
        <f t="shared" si="1"/>
        <v>8.1999999999999993</v>
      </c>
      <c r="B10" s="216" t="s">
        <v>236</v>
      </c>
      <c r="C10" s="217" t="s">
        <v>193</v>
      </c>
      <c r="D10" s="215">
        <v>4.5999999999999996</v>
      </c>
      <c r="E10" s="214"/>
      <c r="F10" s="215">
        <f t="shared" si="2"/>
        <v>69.699999999999989</v>
      </c>
      <c r="G10" s="216" t="s">
        <v>217</v>
      </c>
      <c r="H10" s="217" t="s">
        <v>11</v>
      </c>
      <c r="I10" s="218">
        <v>4.9000000000000004</v>
      </c>
      <c r="O10" s="98"/>
      <c r="P10" s="99"/>
    </row>
    <row r="11" spans="1:16" ht="15">
      <c r="A11" s="219">
        <f t="shared" si="1"/>
        <v>12.799999999999999</v>
      </c>
      <c r="B11" s="216" t="s">
        <v>205</v>
      </c>
      <c r="C11" s="217" t="s">
        <v>206</v>
      </c>
      <c r="D11" s="215">
        <v>1.5</v>
      </c>
      <c r="E11" s="214"/>
      <c r="F11" s="215">
        <f t="shared" si="2"/>
        <v>74.599999999999994</v>
      </c>
      <c r="G11" s="216" t="s">
        <v>236</v>
      </c>
      <c r="H11" s="217" t="s">
        <v>151</v>
      </c>
      <c r="I11" s="218">
        <v>0.6</v>
      </c>
      <c r="O11" s="98"/>
      <c r="P11" s="99"/>
    </row>
    <row r="12" spans="1:16" ht="15">
      <c r="A12" s="219">
        <f t="shared" si="1"/>
        <v>14.299999999999999</v>
      </c>
      <c r="B12" s="216" t="s">
        <v>236</v>
      </c>
      <c r="C12" s="217" t="s">
        <v>164</v>
      </c>
      <c r="D12" s="215">
        <v>5.0999999999999996</v>
      </c>
      <c r="E12" s="214"/>
      <c r="F12" s="215">
        <f t="shared" si="2"/>
        <v>75.199999999999989</v>
      </c>
      <c r="G12" s="216" t="s">
        <v>207</v>
      </c>
      <c r="H12" s="217" t="s">
        <v>150</v>
      </c>
      <c r="I12" s="218">
        <v>9.9</v>
      </c>
      <c r="O12" s="98"/>
      <c r="P12" s="99"/>
    </row>
    <row r="13" spans="1:16" ht="15">
      <c r="A13" s="219">
        <f t="shared" si="1"/>
        <v>19.399999999999999</v>
      </c>
      <c r="B13" s="216" t="s">
        <v>217</v>
      </c>
      <c r="C13" s="217" t="s">
        <v>32</v>
      </c>
      <c r="D13" s="215">
        <v>5.3</v>
      </c>
      <c r="E13" s="214"/>
      <c r="F13" s="215">
        <f t="shared" si="2"/>
        <v>85.1</v>
      </c>
      <c r="G13" s="216" t="s">
        <v>236</v>
      </c>
      <c r="H13" s="217" t="s">
        <v>106</v>
      </c>
      <c r="I13" s="218">
        <v>4.0999999999999996</v>
      </c>
      <c r="O13" s="98"/>
      <c r="P13" s="99"/>
    </row>
    <row r="14" spans="1:16" ht="15">
      <c r="A14" s="219">
        <f t="shared" ref="A14:A19" si="3">A13+D13</f>
        <v>24.7</v>
      </c>
      <c r="B14" s="216" t="s">
        <v>236</v>
      </c>
      <c r="C14" s="217" t="s">
        <v>37</v>
      </c>
      <c r="D14" s="215">
        <v>6.1</v>
      </c>
      <c r="E14" s="214"/>
      <c r="F14" s="215">
        <f t="shared" si="2"/>
        <v>89.199999999999989</v>
      </c>
      <c r="G14" s="216" t="s">
        <v>217</v>
      </c>
      <c r="H14" s="217" t="s">
        <v>218</v>
      </c>
      <c r="I14" s="218">
        <v>6.5</v>
      </c>
      <c r="O14" s="98"/>
      <c r="P14" s="99"/>
    </row>
    <row r="15" spans="1:16" ht="15">
      <c r="A15" s="219">
        <f t="shared" si="3"/>
        <v>30.799999999999997</v>
      </c>
      <c r="B15" s="216" t="s">
        <v>237</v>
      </c>
      <c r="C15" s="217" t="s">
        <v>44</v>
      </c>
      <c r="D15" s="215">
        <v>4.5999999999999996</v>
      </c>
      <c r="E15" s="214"/>
      <c r="F15" s="215">
        <f>+F14+I14</f>
        <v>95.699999999999989</v>
      </c>
      <c r="G15" s="216" t="s">
        <v>217</v>
      </c>
      <c r="H15" s="217" t="s">
        <v>169</v>
      </c>
      <c r="I15" s="218">
        <v>1.2</v>
      </c>
      <c r="O15" s="98"/>
      <c r="P15" s="99"/>
    </row>
    <row r="16" spans="1:16" ht="15">
      <c r="A16" s="219">
        <f t="shared" si="3"/>
        <v>35.4</v>
      </c>
      <c r="B16" s="216" t="s">
        <v>236</v>
      </c>
      <c r="C16" s="217" t="s">
        <v>208</v>
      </c>
      <c r="D16" s="215">
        <v>5.9</v>
      </c>
      <c r="E16" s="214"/>
      <c r="F16" s="215">
        <f>+F15+I15</f>
        <v>96.899999999999991</v>
      </c>
      <c r="G16" s="216" t="s">
        <v>237</v>
      </c>
      <c r="H16" s="217" t="s">
        <v>20</v>
      </c>
      <c r="I16" s="218">
        <v>0.3</v>
      </c>
      <c r="O16" s="101"/>
      <c r="P16" s="100"/>
    </row>
    <row r="17" spans="1:99" ht="15">
      <c r="A17" s="219">
        <f t="shared" si="3"/>
        <v>41.3</v>
      </c>
      <c r="B17" s="216" t="s">
        <v>236</v>
      </c>
      <c r="C17" s="217" t="s">
        <v>166</v>
      </c>
      <c r="D17" s="215">
        <v>2.4</v>
      </c>
      <c r="E17" s="214"/>
      <c r="F17" s="215">
        <f t="shared" ref="F17:F23" si="4">F16+I16</f>
        <v>97.199999999999989</v>
      </c>
      <c r="G17" s="216" t="s">
        <v>217</v>
      </c>
      <c r="H17" s="217" t="s">
        <v>85</v>
      </c>
      <c r="I17" s="218">
        <v>0.3</v>
      </c>
      <c r="O17" s="98"/>
      <c r="P17" s="99"/>
    </row>
    <row r="18" spans="1:99" ht="15">
      <c r="A18" s="219">
        <f t="shared" si="3"/>
        <v>43.699999999999996</v>
      </c>
      <c r="B18" s="216" t="s">
        <v>217</v>
      </c>
      <c r="C18" s="217" t="s">
        <v>167</v>
      </c>
      <c r="D18" s="215">
        <v>6.5</v>
      </c>
      <c r="E18" s="214"/>
      <c r="F18" s="215">
        <f t="shared" si="4"/>
        <v>97.499999999999986</v>
      </c>
      <c r="G18" s="216" t="s">
        <v>236</v>
      </c>
      <c r="H18" s="217" t="s">
        <v>14</v>
      </c>
      <c r="I18" s="218">
        <v>0.1</v>
      </c>
      <c r="O18" s="98"/>
      <c r="P18" s="99"/>
    </row>
    <row r="19" spans="1:99" ht="15">
      <c r="A19" s="219">
        <f t="shared" si="3"/>
        <v>50.199999999999996</v>
      </c>
      <c r="B19" s="216" t="s">
        <v>217</v>
      </c>
      <c r="C19" s="217" t="s">
        <v>209</v>
      </c>
      <c r="D19" s="215">
        <v>1</v>
      </c>
      <c r="E19" s="214"/>
      <c r="F19" s="215">
        <f t="shared" si="4"/>
        <v>97.59999999999998</v>
      </c>
      <c r="G19" s="216" t="s">
        <v>237</v>
      </c>
      <c r="H19" s="217" t="s">
        <v>107</v>
      </c>
      <c r="I19" s="218">
        <v>0.5</v>
      </c>
      <c r="O19" s="98"/>
      <c r="P19" s="99"/>
    </row>
    <row r="20" spans="1:99" ht="15">
      <c r="A20" s="219"/>
      <c r="B20" s="216"/>
      <c r="C20" s="217"/>
      <c r="D20" s="215"/>
      <c r="E20" s="214"/>
      <c r="F20" s="215">
        <f t="shared" si="4"/>
        <v>98.09999999999998</v>
      </c>
      <c r="G20" s="216" t="s">
        <v>217</v>
      </c>
      <c r="H20" s="217" t="s">
        <v>15</v>
      </c>
      <c r="I20" s="218">
        <v>0.5</v>
      </c>
      <c r="O20" s="98"/>
      <c r="P20" s="99"/>
    </row>
    <row r="21" spans="1:99" ht="15">
      <c r="A21" s="211">
        <f>A19+D19</f>
        <v>51.199999999999996</v>
      </c>
      <c r="B21" s="212" t="s">
        <v>236</v>
      </c>
      <c r="C21" s="212" t="s">
        <v>211</v>
      </c>
      <c r="D21" s="215"/>
      <c r="E21" s="214"/>
      <c r="F21" s="215">
        <f t="shared" si="4"/>
        <v>98.59999999999998</v>
      </c>
      <c r="G21" s="216" t="s">
        <v>237</v>
      </c>
      <c r="H21" s="217" t="s">
        <v>271</v>
      </c>
      <c r="I21" s="218">
        <v>0.4</v>
      </c>
      <c r="O21" s="98"/>
      <c r="P21" s="99"/>
    </row>
    <row r="22" spans="1:99" ht="15">
      <c r="A22" s="219"/>
      <c r="B22" s="216"/>
      <c r="C22" s="212" t="s">
        <v>212</v>
      </c>
      <c r="D22" s="215"/>
      <c r="E22" s="214"/>
      <c r="F22" s="215">
        <f t="shared" si="4"/>
        <v>98.999999999999986</v>
      </c>
      <c r="G22" s="216" t="s">
        <v>236</v>
      </c>
      <c r="H22" s="217" t="s">
        <v>272</v>
      </c>
      <c r="I22" s="218">
        <v>0.7</v>
      </c>
      <c r="O22" s="98"/>
      <c r="P22" s="99"/>
    </row>
    <row r="23" spans="1:99" ht="15">
      <c r="A23" s="219"/>
      <c r="B23" s="216"/>
      <c r="C23" s="212" t="s">
        <v>210</v>
      </c>
      <c r="D23" s="215"/>
      <c r="E23" s="214"/>
      <c r="F23" s="215">
        <f t="shared" si="4"/>
        <v>99.699999999999989</v>
      </c>
      <c r="G23" s="216" t="s">
        <v>236</v>
      </c>
      <c r="H23" s="217" t="s">
        <v>273</v>
      </c>
      <c r="I23" s="218">
        <v>0.1</v>
      </c>
      <c r="N23" s="97"/>
      <c r="O23" s="98"/>
      <c r="P23" s="99"/>
    </row>
    <row r="24" spans="1:99" ht="4.5" customHeight="1">
      <c r="A24" s="219"/>
      <c r="B24" s="216"/>
      <c r="C24" s="217"/>
      <c r="D24" s="215"/>
      <c r="E24" s="214"/>
      <c r="F24" s="215"/>
      <c r="G24" s="216"/>
      <c r="H24" s="217"/>
      <c r="I24" s="218"/>
      <c r="N24" s="97"/>
      <c r="O24" s="98"/>
      <c r="P24" s="99"/>
    </row>
    <row r="25" spans="1:99" ht="42" customHeight="1">
      <c r="A25" s="220" t="s">
        <v>239</v>
      </c>
      <c r="B25" s="221" t="s">
        <v>235</v>
      </c>
      <c r="C25" s="222" t="s">
        <v>240</v>
      </c>
      <c r="D25" s="223" t="s">
        <v>241</v>
      </c>
      <c r="E25" s="214"/>
      <c r="F25" s="224" t="s">
        <v>239</v>
      </c>
      <c r="G25" s="221" t="s">
        <v>235</v>
      </c>
      <c r="H25" s="222" t="s">
        <v>240</v>
      </c>
      <c r="I25" s="225" t="s">
        <v>241</v>
      </c>
    </row>
    <row r="26" spans="1:99" s="82" customFormat="1" ht="15">
      <c r="A26" s="219">
        <f>F23+I23</f>
        <v>99.799999999999983</v>
      </c>
      <c r="B26" s="216"/>
      <c r="C26" s="217" t="s">
        <v>274</v>
      </c>
      <c r="D26" s="215"/>
      <c r="E26" s="214"/>
      <c r="F26" s="215">
        <f>A43</f>
        <v>134.79999999999998</v>
      </c>
      <c r="G26" s="226" t="s">
        <v>236</v>
      </c>
      <c r="H26" s="227" t="s">
        <v>296</v>
      </c>
      <c r="I26" s="228">
        <v>3.3</v>
      </c>
      <c r="J26"/>
      <c r="K26" s="100"/>
      <c r="L26" s="100"/>
      <c r="M26" s="100"/>
      <c r="N26"/>
      <c r="O26"/>
      <c r="P26" s="98"/>
      <c r="Q26" s="99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</row>
    <row r="27" spans="1:99" s="82" customFormat="1" ht="15">
      <c r="A27" s="219">
        <f>A26+D26</f>
        <v>99.799999999999983</v>
      </c>
      <c r="B27" s="216" t="s">
        <v>217</v>
      </c>
      <c r="C27" s="217" t="s">
        <v>275</v>
      </c>
      <c r="D27" s="215">
        <v>0.3</v>
      </c>
      <c r="E27" s="214"/>
      <c r="F27" s="215">
        <f t="shared" ref="F27:F47" si="5">F26+I26</f>
        <v>138.1</v>
      </c>
      <c r="G27" s="226" t="s">
        <v>217</v>
      </c>
      <c r="H27" s="227" t="s">
        <v>297</v>
      </c>
      <c r="I27" s="228">
        <v>0.4</v>
      </c>
      <c r="J27"/>
      <c r="K27" s="100"/>
      <c r="L27" s="100"/>
      <c r="M27" s="100"/>
      <c r="N27"/>
      <c r="O27"/>
      <c r="P27" s="98"/>
      <c r="Q27" s="99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</row>
    <row r="28" spans="1:99" s="82" customFormat="1" ht="15">
      <c r="A28" s="219">
        <f>A27+D27</f>
        <v>100.09999999999998</v>
      </c>
      <c r="B28" s="216" t="s">
        <v>237</v>
      </c>
      <c r="C28" s="217" t="s">
        <v>276</v>
      </c>
      <c r="D28" s="215">
        <v>1.1000000000000001</v>
      </c>
      <c r="E28" s="214"/>
      <c r="F28" s="215">
        <f t="shared" si="5"/>
        <v>138.5</v>
      </c>
      <c r="G28" s="216" t="s">
        <v>217</v>
      </c>
      <c r="H28" s="217" t="s">
        <v>113</v>
      </c>
      <c r="I28" s="218">
        <v>1.7</v>
      </c>
      <c r="J28"/>
      <c r="K28" s="100"/>
      <c r="L28" s="100"/>
      <c r="M28" s="100"/>
      <c r="N28"/>
      <c r="O28"/>
      <c r="P28" s="98"/>
      <c r="Q28" s="99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</row>
    <row r="29" spans="1:99" s="82" customFormat="1" ht="15">
      <c r="A29" s="219">
        <f>A28+D28</f>
        <v>101.19999999999997</v>
      </c>
      <c r="B29" s="216" t="s">
        <v>236</v>
      </c>
      <c r="C29" s="217" t="s">
        <v>277</v>
      </c>
      <c r="D29" s="215">
        <v>2</v>
      </c>
      <c r="E29" s="214"/>
      <c r="F29" s="215">
        <f t="shared" si="5"/>
        <v>140.19999999999999</v>
      </c>
      <c r="G29" s="216" t="s">
        <v>236</v>
      </c>
      <c r="H29" s="217" t="s">
        <v>110</v>
      </c>
      <c r="I29" s="218">
        <v>6.6</v>
      </c>
      <c r="J29"/>
      <c r="K29" s="100"/>
      <c r="L29" s="100"/>
      <c r="M29" s="100"/>
      <c r="N29"/>
      <c r="O29"/>
      <c r="P29" s="98"/>
      <c r="Q29" s="100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</row>
    <row r="30" spans="1:99" s="82" customFormat="1" ht="15">
      <c r="A30" s="219">
        <f t="shared" ref="A30:A40" si="6">A29+D29</f>
        <v>103.19999999999997</v>
      </c>
      <c r="B30" s="216" t="s">
        <v>236</v>
      </c>
      <c r="C30" s="217" t="s">
        <v>77</v>
      </c>
      <c r="D30" s="215">
        <v>8.8000000000000007</v>
      </c>
      <c r="E30" s="214"/>
      <c r="F30" s="229">
        <f t="shared" si="5"/>
        <v>146.79999999999998</v>
      </c>
      <c r="G30" s="216" t="s">
        <v>237</v>
      </c>
      <c r="H30" s="217" t="s">
        <v>86</v>
      </c>
      <c r="I30" s="218">
        <v>0.1</v>
      </c>
      <c r="J30"/>
      <c r="K30" s="100"/>
      <c r="L30" s="100"/>
      <c r="M30" s="100"/>
      <c r="N30"/>
      <c r="O30"/>
      <c r="P30" s="98"/>
      <c r="Q30" s="99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</row>
    <row r="31" spans="1:99" s="82" customFormat="1" ht="15">
      <c r="A31" s="219">
        <f t="shared" si="6"/>
        <v>111.99999999999997</v>
      </c>
      <c r="B31" s="216" t="s">
        <v>236</v>
      </c>
      <c r="C31" s="217" t="s">
        <v>278</v>
      </c>
      <c r="D31" s="215">
        <v>0.8</v>
      </c>
      <c r="E31" s="214"/>
      <c r="F31" s="229">
        <f t="shared" si="5"/>
        <v>146.89999999999998</v>
      </c>
      <c r="G31" s="216" t="s">
        <v>236</v>
      </c>
      <c r="H31" s="217" t="s">
        <v>92</v>
      </c>
      <c r="I31" s="218">
        <v>2.2999999999999998</v>
      </c>
      <c r="J31"/>
      <c r="K31" s="100"/>
      <c r="L31" s="100"/>
      <c r="M31" s="100"/>
      <c r="N31"/>
      <c r="O31"/>
      <c r="P31" s="98"/>
      <c r="Q31" s="98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</row>
    <row r="32" spans="1:99" s="82" customFormat="1" ht="15">
      <c r="A32" s="219">
        <f t="shared" si="6"/>
        <v>112.79999999999997</v>
      </c>
      <c r="B32" s="216" t="s">
        <v>237</v>
      </c>
      <c r="C32" s="217" t="s">
        <v>16</v>
      </c>
      <c r="D32" s="215">
        <v>0.4</v>
      </c>
      <c r="E32" s="214"/>
      <c r="F32" s="229">
        <f t="shared" si="5"/>
        <v>149.19999999999999</v>
      </c>
      <c r="G32" s="216" t="s">
        <v>236</v>
      </c>
      <c r="H32" s="217" t="s">
        <v>123</v>
      </c>
      <c r="I32" s="218">
        <v>1.2</v>
      </c>
      <c r="J32" s="151"/>
      <c r="K32" s="100"/>
      <c r="L32" s="100"/>
      <c r="M32" s="100"/>
      <c r="N32"/>
      <c r="O32"/>
      <c r="P32" s="100"/>
      <c r="Q32" s="98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</row>
    <row r="33" spans="1:99" s="82" customFormat="1" ht="15">
      <c r="A33" s="219">
        <f t="shared" si="6"/>
        <v>113.19999999999997</v>
      </c>
      <c r="B33" s="216" t="s">
        <v>217</v>
      </c>
      <c r="C33" s="217" t="s">
        <v>100</v>
      </c>
      <c r="D33" s="215">
        <v>1.4</v>
      </c>
      <c r="E33" s="214"/>
      <c r="F33" s="215">
        <f t="shared" si="5"/>
        <v>150.39999999999998</v>
      </c>
      <c r="G33" s="216" t="s">
        <v>237</v>
      </c>
      <c r="H33" s="217" t="s">
        <v>74</v>
      </c>
      <c r="I33" s="218">
        <v>0.1</v>
      </c>
      <c r="J33"/>
      <c r="K33" s="100"/>
      <c r="L33" s="100"/>
      <c r="M33" s="100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</row>
    <row r="34" spans="1:99" s="82" customFormat="1" ht="15">
      <c r="A34" s="219">
        <f t="shared" si="6"/>
        <v>114.59999999999998</v>
      </c>
      <c r="B34" s="216" t="s">
        <v>236</v>
      </c>
      <c r="C34" s="217" t="s">
        <v>17</v>
      </c>
      <c r="D34" s="215">
        <v>2.2000000000000002</v>
      </c>
      <c r="E34" s="214"/>
      <c r="F34" s="215">
        <f t="shared" si="5"/>
        <v>150.49999999999997</v>
      </c>
      <c r="G34" s="212"/>
      <c r="H34" s="217" t="s">
        <v>78</v>
      </c>
      <c r="I34" s="218"/>
      <c r="J34"/>
      <c r="K34" s="100"/>
      <c r="L34" s="100"/>
      <c r="M34" s="100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</row>
    <row r="35" spans="1:99" s="82" customFormat="1" ht="15">
      <c r="A35" s="219">
        <f t="shared" si="6"/>
        <v>116.79999999999998</v>
      </c>
      <c r="B35" s="216" t="s">
        <v>236</v>
      </c>
      <c r="C35" s="217" t="s">
        <v>21</v>
      </c>
      <c r="D35" s="215">
        <v>3.7</v>
      </c>
      <c r="E35" s="214"/>
      <c r="F35" s="215">
        <f t="shared" si="5"/>
        <v>150.49999999999997</v>
      </c>
      <c r="G35" s="216" t="s">
        <v>217</v>
      </c>
      <c r="H35" s="217" t="s">
        <v>75</v>
      </c>
      <c r="I35" s="218">
        <v>0.4</v>
      </c>
      <c r="J35"/>
      <c r="K35" s="100"/>
      <c r="L35" s="100"/>
      <c r="M35" s="100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</row>
    <row r="36" spans="1:99" s="82" customFormat="1" ht="15">
      <c r="A36" s="219">
        <f t="shared" si="6"/>
        <v>120.49999999999999</v>
      </c>
      <c r="B36" s="216" t="s">
        <v>236</v>
      </c>
      <c r="C36" s="217" t="s">
        <v>108</v>
      </c>
      <c r="D36" s="215">
        <v>5.9</v>
      </c>
      <c r="E36" s="214"/>
      <c r="F36" s="215">
        <f t="shared" si="5"/>
        <v>150.89999999999998</v>
      </c>
      <c r="G36" s="216" t="s">
        <v>236</v>
      </c>
      <c r="H36" s="217" t="s">
        <v>199</v>
      </c>
      <c r="I36" s="218">
        <v>0.3</v>
      </c>
      <c r="J36"/>
      <c r="K36" s="100"/>
      <c r="L36" s="100"/>
      <c r="M36" s="100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</row>
    <row r="37" spans="1:99" s="82" customFormat="1" ht="15">
      <c r="A37" s="219">
        <f t="shared" si="6"/>
        <v>126.39999999999999</v>
      </c>
      <c r="B37" s="216" t="s">
        <v>236</v>
      </c>
      <c r="C37" s="217" t="s">
        <v>215</v>
      </c>
      <c r="D37" s="215">
        <v>1.2</v>
      </c>
      <c r="E37" s="214"/>
      <c r="F37" s="215">
        <f t="shared" si="5"/>
        <v>151.19999999999999</v>
      </c>
      <c r="G37" s="216" t="s">
        <v>237</v>
      </c>
      <c r="H37" s="217" t="s">
        <v>198</v>
      </c>
      <c r="I37" s="218">
        <v>0.4</v>
      </c>
      <c r="J37"/>
      <c r="K37" s="100"/>
      <c r="L37" s="100"/>
      <c r="M37" s="100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</row>
    <row r="38" spans="1:99" s="82" customFormat="1" ht="15">
      <c r="A38" s="219">
        <f t="shared" si="6"/>
        <v>127.6</v>
      </c>
      <c r="B38" s="216" t="s">
        <v>236</v>
      </c>
      <c r="C38" s="217" t="s">
        <v>196</v>
      </c>
      <c r="D38" s="215">
        <v>2.2000000000000002</v>
      </c>
      <c r="E38" s="214"/>
      <c r="F38" s="215">
        <f t="shared" si="5"/>
        <v>151.6</v>
      </c>
      <c r="G38" s="216" t="s">
        <v>236</v>
      </c>
      <c r="H38" s="217" t="s">
        <v>124</v>
      </c>
      <c r="I38" s="218">
        <v>1.1000000000000001</v>
      </c>
      <c r="J38"/>
      <c r="K38" s="100"/>
      <c r="L38" s="100"/>
      <c r="M38" s="100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</row>
    <row r="39" spans="1:99" s="82" customFormat="1" ht="15">
      <c r="A39" s="219">
        <f t="shared" si="6"/>
        <v>129.79999999999998</v>
      </c>
      <c r="B39" s="226" t="s">
        <v>217</v>
      </c>
      <c r="C39" s="227" t="s">
        <v>109</v>
      </c>
      <c r="D39" s="229">
        <v>3.7</v>
      </c>
      <c r="E39" s="214"/>
      <c r="F39" s="215">
        <f t="shared" si="5"/>
        <v>152.69999999999999</v>
      </c>
      <c r="G39" s="216" t="s">
        <v>237</v>
      </c>
      <c r="H39" s="217" t="s">
        <v>79</v>
      </c>
      <c r="I39" s="218">
        <v>1.6</v>
      </c>
      <c r="J39"/>
      <c r="K39" s="100"/>
      <c r="L39" s="100"/>
      <c r="M39" s="100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</row>
    <row r="40" spans="1:99" s="82" customFormat="1" ht="15">
      <c r="A40" s="219">
        <f t="shared" si="6"/>
        <v>133.49999999999997</v>
      </c>
      <c r="B40" s="216" t="s">
        <v>217</v>
      </c>
      <c r="C40" s="217" t="s">
        <v>18</v>
      </c>
      <c r="D40" s="229">
        <v>1.3</v>
      </c>
      <c r="E40" s="214"/>
      <c r="F40" s="215">
        <f t="shared" si="5"/>
        <v>154.29999999999998</v>
      </c>
      <c r="G40" s="216" t="s">
        <v>237</v>
      </c>
      <c r="H40" s="217" t="s">
        <v>125</v>
      </c>
      <c r="I40" s="218">
        <v>0.7</v>
      </c>
      <c r="J40"/>
      <c r="K40" s="100"/>
      <c r="L40" s="100"/>
      <c r="M40" s="10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</row>
    <row r="41" spans="1:99" s="82" customFormat="1" ht="15">
      <c r="A41" s="230"/>
      <c r="B41" s="214"/>
      <c r="C41" s="214"/>
      <c r="D41" s="214"/>
      <c r="E41" s="214"/>
      <c r="F41" s="215">
        <f t="shared" si="5"/>
        <v>154.99999999999997</v>
      </c>
      <c r="G41" s="216" t="s">
        <v>236</v>
      </c>
      <c r="H41" s="217" t="s">
        <v>41</v>
      </c>
      <c r="I41" s="218">
        <v>1.6</v>
      </c>
      <c r="J41"/>
      <c r="K41" s="100"/>
      <c r="L41" s="100"/>
      <c r="M41" s="100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</row>
    <row r="42" spans="1:99" s="82" customFormat="1" ht="15">
      <c r="A42" s="230"/>
      <c r="B42" s="214"/>
      <c r="C42" s="214"/>
      <c r="D42" s="214"/>
      <c r="E42" s="214"/>
      <c r="F42" s="215">
        <f t="shared" si="5"/>
        <v>156.59999999999997</v>
      </c>
      <c r="G42" s="216" t="s">
        <v>205</v>
      </c>
      <c r="H42" s="217" t="s">
        <v>88</v>
      </c>
      <c r="I42" s="218">
        <v>0.8</v>
      </c>
      <c r="J42"/>
      <c r="K42" s="100"/>
      <c r="L42" s="100"/>
      <c r="M42" s="100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</row>
    <row r="43" spans="1:99" s="82" customFormat="1" ht="15">
      <c r="A43" s="211">
        <f>A40+D40</f>
        <v>134.79999999999998</v>
      </c>
      <c r="B43" s="231" t="s">
        <v>236</v>
      </c>
      <c r="C43" s="231" t="s">
        <v>293</v>
      </c>
      <c r="D43" s="214"/>
      <c r="E43" s="214"/>
      <c r="F43" s="215">
        <f t="shared" si="5"/>
        <v>157.39999999999998</v>
      </c>
      <c r="G43" s="216" t="s">
        <v>236</v>
      </c>
      <c r="H43" s="217" t="s">
        <v>46</v>
      </c>
      <c r="I43" s="218">
        <v>8.1999999999999993</v>
      </c>
      <c r="J43"/>
      <c r="K43" s="100"/>
      <c r="L43" s="100"/>
      <c r="M43" s="100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</row>
    <row r="44" spans="1:99" s="82" customFormat="1" ht="15">
      <c r="A44" s="230"/>
      <c r="B44" s="226"/>
      <c r="C44" s="232" t="s">
        <v>302</v>
      </c>
      <c r="D44" s="229"/>
      <c r="E44" s="214"/>
      <c r="F44" s="215">
        <f t="shared" si="5"/>
        <v>165.59999999999997</v>
      </c>
      <c r="G44" s="216" t="s">
        <v>236</v>
      </c>
      <c r="H44" s="217" t="s">
        <v>47</v>
      </c>
      <c r="I44" s="218">
        <v>1.9</v>
      </c>
      <c r="J44"/>
      <c r="K44" s="100"/>
      <c r="L44" s="100"/>
      <c r="M44" s="100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</row>
    <row r="45" spans="1:99" s="82" customFormat="1" ht="15">
      <c r="A45" s="219"/>
      <c r="B45" s="216"/>
      <c r="C45" s="232" t="s">
        <v>104</v>
      </c>
      <c r="D45" s="215"/>
      <c r="E45" s="214"/>
      <c r="F45" s="215">
        <f t="shared" si="5"/>
        <v>167.49999999999997</v>
      </c>
      <c r="G45" s="216" t="s">
        <v>237</v>
      </c>
      <c r="H45" s="217" t="s">
        <v>36</v>
      </c>
      <c r="I45" s="218">
        <v>0.9</v>
      </c>
      <c r="J45"/>
      <c r="K45" s="100"/>
      <c r="L45" s="100"/>
      <c r="M45" s="100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</row>
    <row r="46" spans="1:99" s="82" customFormat="1" ht="15">
      <c r="A46" s="230"/>
      <c r="B46" s="214"/>
      <c r="C46" s="245" t="s">
        <v>303</v>
      </c>
      <c r="D46" s="214"/>
      <c r="E46" s="214"/>
      <c r="F46" s="215">
        <f t="shared" si="5"/>
        <v>168.39999999999998</v>
      </c>
      <c r="G46" s="216" t="s">
        <v>236</v>
      </c>
      <c r="H46" s="217" t="s">
        <v>90</v>
      </c>
      <c r="I46" s="218">
        <v>4.8</v>
      </c>
      <c r="J46"/>
      <c r="K46" s="100"/>
      <c r="L46" s="100"/>
      <c r="M46" s="100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</row>
    <row r="47" spans="1:99" ht="15">
      <c r="A47" s="219"/>
      <c r="B47" s="216"/>
      <c r="C47" s="217"/>
      <c r="D47" s="215"/>
      <c r="E47" s="214"/>
      <c r="F47" s="215">
        <f t="shared" si="5"/>
        <v>173.2</v>
      </c>
      <c r="G47" s="216" t="s">
        <v>237</v>
      </c>
      <c r="H47" s="217" t="s">
        <v>33</v>
      </c>
      <c r="I47" s="218">
        <v>4.7</v>
      </c>
    </row>
    <row r="48" spans="1:99" ht="3.75" customHeight="1">
      <c r="A48" s="219"/>
      <c r="B48" s="216"/>
      <c r="C48" s="217"/>
      <c r="D48" s="215"/>
      <c r="E48" s="214"/>
      <c r="F48" s="215"/>
      <c r="G48" s="216"/>
      <c r="H48" s="217"/>
      <c r="I48" s="218"/>
    </row>
    <row r="49" spans="1:9" ht="39.75" customHeight="1">
      <c r="A49" s="220" t="s">
        <v>239</v>
      </c>
      <c r="B49" s="221" t="s">
        <v>235</v>
      </c>
      <c r="C49" s="222" t="s">
        <v>240</v>
      </c>
      <c r="D49" s="223" t="s">
        <v>241</v>
      </c>
      <c r="E49" s="214"/>
      <c r="F49" s="224" t="s">
        <v>239</v>
      </c>
      <c r="G49" s="221" t="s">
        <v>235</v>
      </c>
      <c r="H49" s="222" t="s">
        <v>240</v>
      </c>
      <c r="I49" s="225" t="s">
        <v>241</v>
      </c>
    </row>
    <row r="50" spans="1:9" ht="15">
      <c r="A50" s="219">
        <f>F47+I47</f>
        <v>177.89999999999998</v>
      </c>
      <c r="B50" s="216" t="s">
        <v>237</v>
      </c>
      <c r="C50" s="217" t="s">
        <v>10</v>
      </c>
      <c r="D50" s="215">
        <v>39.700000000000003</v>
      </c>
      <c r="E50" s="214"/>
      <c r="F50" s="215">
        <f>A71+D71</f>
        <v>290.59999999999997</v>
      </c>
      <c r="G50" s="216" t="s">
        <v>236</v>
      </c>
      <c r="H50" s="217" t="s">
        <v>51</v>
      </c>
      <c r="I50" s="218">
        <v>0.1</v>
      </c>
    </row>
    <row r="51" spans="1:9" ht="15">
      <c r="A51" s="219"/>
      <c r="B51" s="216"/>
      <c r="C51" s="217"/>
      <c r="D51" s="215"/>
      <c r="E51" s="214"/>
      <c r="F51" s="215">
        <f>F50+I50</f>
        <v>290.7</v>
      </c>
      <c r="G51" s="216" t="s">
        <v>205</v>
      </c>
      <c r="H51" s="217" t="s">
        <v>128</v>
      </c>
      <c r="I51" s="218">
        <v>0.7</v>
      </c>
    </row>
    <row r="52" spans="1:9" ht="15">
      <c r="A52" s="211">
        <f>A50+D50</f>
        <v>217.59999999999997</v>
      </c>
      <c r="B52" s="216" t="s">
        <v>236</v>
      </c>
      <c r="C52" s="212" t="s">
        <v>115</v>
      </c>
      <c r="D52" s="215">
        <v>0.1</v>
      </c>
      <c r="E52" s="214"/>
      <c r="F52" s="215">
        <f>F51+I51</f>
        <v>291.39999999999998</v>
      </c>
      <c r="G52" s="216" t="s">
        <v>217</v>
      </c>
      <c r="H52" s="217" t="s">
        <v>97</v>
      </c>
      <c r="I52" s="218">
        <v>1.1000000000000001</v>
      </c>
    </row>
    <row r="53" spans="1:9" ht="15">
      <c r="A53" s="219"/>
      <c r="B53" s="216"/>
      <c r="C53" s="212" t="s">
        <v>114</v>
      </c>
      <c r="D53" s="215"/>
      <c r="E53" s="214"/>
      <c r="F53" s="215">
        <f>F52+I52</f>
        <v>292.5</v>
      </c>
      <c r="G53" s="216" t="s">
        <v>237</v>
      </c>
      <c r="H53" s="217" t="s">
        <v>129</v>
      </c>
      <c r="I53" s="218">
        <v>0.1</v>
      </c>
    </row>
    <row r="54" spans="1:9" ht="15">
      <c r="A54" s="219"/>
      <c r="B54" s="216"/>
      <c r="C54" s="217"/>
      <c r="D54" s="215"/>
      <c r="E54" s="214"/>
      <c r="F54" s="215">
        <f>F53+I53</f>
        <v>292.60000000000002</v>
      </c>
      <c r="G54" s="216" t="s">
        <v>236</v>
      </c>
      <c r="H54" s="217" t="s">
        <v>130</v>
      </c>
      <c r="I54" s="218">
        <v>2.7</v>
      </c>
    </row>
    <row r="55" spans="1:9" ht="15">
      <c r="A55" s="219">
        <f>A52+D52</f>
        <v>217.69999999999996</v>
      </c>
      <c r="B55" s="216" t="s">
        <v>237</v>
      </c>
      <c r="C55" s="217" t="s">
        <v>112</v>
      </c>
      <c r="D55" s="215">
        <v>52</v>
      </c>
      <c r="E55" s="214"/>
      <c r="F55" s="215"/>
      <c r="G55" s="216"/>
      <c r="H55" s="217" t="s">
        <v>52</v>
      </c>
      <c r="I55" s="218"/>
    </row>
    <row r="56" spans="1:9" ht="15">
      <c r="A56" s="219"/>
      <c r="B56" s="216"/>
      <c r="C56" s="217"/>
      <c r="D56" s="215"/>
      <c r="E56" s="214"/>
      <c r="F56" s="215">
        <f>F54+I54</f>
        <v>295.3</v>
      </c>
      <c r="G56" s="216" t="s">
        <v>217</v>
      </c>
      <c r="H56" s="217" t="s">
        <v>132</v>
      </c>
      <c r="I56" s="218">
        <v>0.2</v>
      </c>
    </row>
    <row r="57" spans="1:9" ht="15">
      <c r="A57" s="211">
        <f>A55+D55</f>
        <v>269.69999999999993</v>
      </c>
      <c r="B57" s="212" t="s">
        <v>236</v>
      </c>
      <c r="C57" s="212" t="s">
        <v>116</v>
      </c>
      <c r="D57" s="215"/>
      <c r="E57" s="214"/>
      <c r="F57" s="215">
        <f>F56+I56</f>
        <v>295.5</v>
      </c>
      <c r="G57" s="216" t="s">
        <v>236</v>
      </c>
      <c r="H57" s="217" t="s">
        <v>133</v>
      </c>
      <c r="I57" s="218">
        <v>1.3</v>
      </c>
    </row>
    <row r="58" spans="1:9" ht="15">
      <c r="A58" s="219"/>
      <c r="B58" s="216"/>
      <c r="C58" s="212" t="s">
        <v>103</v>
      </c>
      <c r="D58" s="215"/>
      <c r="E58" s="214"/>
      <c r="F58" s="215">
        <f>F57+I57</f>
        <v>296.8</v>
      </c>
      <c r="G58" s="216" t="s">
        <v>236</v>
      </c>
      <c r="H58" s="217" t="s">
        <v>161</v>
      </c>
      <c r="I58" s="218">
        <v>4.2</v>
      </c>
    </row>
    <row r="59" spans="1:9" ht="15">
      <c r="A59" s="219"/>
      <c r="B59" s="216"/>
      <c r="C59" s="217"/>
      <c r="D59" s="215"/>
      <c r="E59" s="214"/>
      <c r="F59" s="215">
        <f>F58+I58</f>
        <v>301</v>
      </c>
      <c r="G59" s="216" t="s">
        <v>237</v>
      </c>
      <c r="H59" s="217" t="s">
        <v>162</v>
      </c>
      <c r="I59" s="218">
        <v>3.4</v>
      </c>
    </row>
    <row r="60" spans="1:9" ht="15">
      <c r="A60" s="233">
        <f>A57</f>
        <v>269.69999999999993</v>
      </c>
      <c r="B60" s="216" t="s">
        <v>236</v>
      </c>
      <c r="C60" s="217" t="s">
        <v>94</v>
      </c>
      <c r="D60" s="215">
        <v>1.8</v>
      </c>
      <c r="E60" s="214"/>
      <c r="F60" s="215">
        <f>F59+I59</f>
        <v>304.39999999999998</v>
      </c>
      <c r="G60" s="216" t="s">
        <v>236</v>
      </c>
      <c r="H60" s="217" t="s">
        <v>163</v>
      </c>
      <c r="I60" s="218">
        <v>8</v>
      </c>
    </row>
    <row r="61" spans="1:9" ht="15">
      <c r="A61" s="233">
        <f t="shared" ref="A61:A67" si="7">A60+D60</f>
        <v>271.49999999999994</v>
      </c>
      <c r="B61" s="216" t="s">
        <v>236</v>
      </c>
      <c r="C61" s="217" t="s">
        <v>61</v>
      </c>
      <c r="D61" s="215">
        <v>1.3</v>
      </c>
      <c r="E61" s="214"/>
      <c r="F61" s="215"/>
      <c r="G61" s="216"/>
      <c r="H61" s="217" t="s">
        <v>131</v>
      </c>
      <c r="I61" s="218"/>
    </row>
    <row r="62" spans="1:9" ht="15">
      <c r="A62" s="219">
        <f t="shared" si="7"/>
        <v>272.79999999999995</v>
      </c>
      <c r="B62" s="216" t="s">
        <v>237</v>
      </c>
      <c r="C62" s="217" t="s">
        <v>62</v>
      </c>
      <c r="D62" s="215">
        <v>0.1</v>
      </c>
      <c r="E62" s="214"/>
      <c r="F62" s="215">
        <f>F60+I60</f>
        <v>312.39999999999998</v>
      </c>
      <c r="G62" s="216" t="s">
        <v>217</v>
      </c>
      <c r="H62" s="217" t="s">
        <v>98</v>
      </c>
      <c r="I62" s="218">
        <v>0.7</v>
      </c>
    </row>
    <row r="63" spans="1:9" ht="15">
      <c r="A63" s="219">
        <f t="shared" si="7"/>
        <v>272.89999999999998</v>
      </c>
      <c r="B63" s="216"/>
      <c r="C63" s="217" t="s">
        <v>63</v>
      </c>
      <c r="D63" s="215"/>
      <c r="E63" s="214"/>
      <c r="F63" s="215">
        <f t="shared" ref="F63:F68" si="8">F62+I62</f>
        <v>313.09999999999997</v>
      </c>
      <c r="G63" s="216" t="s">
        <v>217</v>
      </c>
      <c r="H63" s="217" t="s">
        <v>99</v>
      </c>
      <c r="I63" s="218">
        <v>1</v>
      </c>
    </row>
    <row r="64" spans="1:9" ht="15">
      <c r="A64" s="219">
        <f t="shared" si="7"/>
        <v>272.89999999999998</v>
      </c>
      <c r="B64" s="216" t="s">
        <v>217</v>
      </c>
      <c r="C64" s="217" t="s">
        <v>62</v>
      </c>
      <c r="D64" s="215">
        <v>0.1</v>
      </c>
      <c r="E64" s="214"/>
      <c r="F64" s="234">
        <f t="shared" si="8"/>
        <v>314.09999999999997</v>
      </c>
      <c r="G64" s="216" t="s">
        <v>236</v>
      </c>
      <c r="H64" s="217" t="s">
        <v>80</v>
      </c>
      <c r="I64" s="218">
        <v>1.3</v>
      </c>
    </row>
    <row r="65" spans="1:9" ht="15">
      <c r="A65" s="219">
        <f t="shared" si="7"/>
        <v>273</v>
      </c>
      <c r="B65" s="216" t="s">
        <v>236</v>
      </c>
      <c r="C65" s="217" t="s">
        <v>279</v>
      </c>
      <c r="D65" s="215">
        <v>9.5</v>
      </c>
      <c r="E65" s="214"/>
      <c r="F65" s="215">
        <f t="shared" si="8"/>
        <v>315.39999999999998</v>
      </c>
      <c r="G65" s="216" t="s">
        <v>237</v>
      </c>
      <c r="H65" s="217" t="s">
        <v>22</v>
      </c>
      <c r="I65" s="218">
        <v>0.9</v>
      </c>
    </row>
    <row r="66" spans="1:9" ht="15">
      <c r="A66" s="219">
        <f t="shared" si="7"/>
        <v>282.5</v>
      </c>
      <c r="B66" s="216" t="s">
        <v>237</v>
      </c>
      <c r="C66" s="217" t="s">
        <v>66</v>
      </c>
      <c r="D66" s="215">
        <v>5.5</v>
      </c>
      <c r="E66" s="214"/>
      <c r="F66" s="215">
        <f t="shared" si="8"/>
        <v>316.29999999999995</v>
      </c>
      <c r="G66" s="216" t="s">
        <v>236</v>
      </c>
      <c r="H66" s="217" t="s">
        <v>20</v>
      </c>
      <c r="I66" s="218">
        <v>1.6</v>
      </c>
    </row>
    <row r="67" spans="1:9" ht="15">
      <c r="A67" s="233">
        <f t="shared" si="7"/>
        <v>288</v>
      </c>
      <c r="B67" s="216" t="s">
        <v>236</v>
      </c>
      <c r="C67" s="217" t="s">
        <v>96</v>
      </c>
      <c r="D67" s="215">
        <v>0.9</v>
      </c>
      <c r="E67" s="214"/>
      <c r="F67" s="215">
        <f t="shared" si="8"/>
        <v>317.89999999999998</v>
      </c>
      <c r="G67" s="216" t="s">
        <v>237</v>
      </c>
      <c r="H67" s="217" t="s">
        <v>219</v>
      </c>
      <c r="I67" s="218">
        <v>2.4</v>
      </c>
    </row>
    <row r="68" spans="1:9" ht="15">
      <c r="A68" s="233"/>
      <c r="B68" s="216"/>
      <c r="C68" s="217" t="s">
        <v>6</v>
      </c>
      <c r="D68" s="215"/>
      <c r="E68" s="214"/>
      <c r="F68" s="215">
        <f t="shared" si="8"/>
        <v>320.29999999999995</v>
      </c>
      <c r="G68" s="216" t="s">
        <v>236</v>
      </c>
      <c r="H68" s="217" t="s">
        <v>81</v>
      </c>
      <c r="I68" s="218">
        <v>0.8</v>
      </c>
    </row>
    <row r="69" spans="1:9" ht="15">
      <c r="A69" s="219">
        <f>A67+D67</f>
        <v>288.89999999999998</v>
      </c>
      <c r="B69" s="216" t="s">
        <v>217</v>
      </c>
      <c r="C69" s="217" t="s">
        <v>120</v>
      </c>
      <c r="D69" s="215">
        <v>0.1</v>
      </c>
      <c r="E69" s="214"/>
      <c r="F69" s="215"/>
      <c r="G69" s="216"/>
      <c r="H69" s="217" t="s">
        <v>45</v>
      </c>
      <c r="I69" s="218"/>
    </row>
    <row r="70" spans="1:9" ht="15">
      <c r="A70" s="219">
        <f>A69+D69</f>
        <v>289</v>
      </c>
      <c r="B70" s="216" t="s">
        <v>237</v>
      </c>
      <c r="C70" s="217" t="s">
        <v>126</v>
      </c>
      <c r="D70" s="215">
        <v>0.7</v>
      </c>
      <c r="E70" s="214"/>
      <c r="F70" s="215">
        <f>F68+I68</f>
        <v>321.09999999999997</v>
      </c>
      <c r="G70" s="216" t="s">
        <v>237</v>
      </c>
      <c r="H70" s="217" t="s">
        <v>82</v>
      </c>
      <c r="I70" s="218">
        <v>3</v>
      </c>
    </row>
    <row r="71" spans="1:9" ht="15">
      <c r="A71" s="219">
        <f>A70+D70</f>
        <v>289.7</v>
      </c>
      <c r="B71" s="216" t="s">
        <v>237</v>
      </c>
      <c r="C71" s="217" t="s">
        <v>127</v>
      </c>
      <c r="D71" s="215">
        <v>0.9</v>
      </c>
      <c r="E71" s="214"/>
      <c r="F71" s="215">
        <f>F70+I70</f>
        <v>324.09999999999997</v>
      </c>
      <c r="G71" s="216" t="s">
        <v>217</v>
      </c>
      <c r="H71" s="217" t="s">
        <v>53</v>
      </c>
      <c r="I71" s="218">
        <v>1</v>
      </c>
    </row>
    <row r="72" spans="1:9" ht="4.5" customHeight="1">
      <c r="A72" s="219"/>
      <c r="B72" s="216"/>
      <c r="C72" s="217"/>
      <c r="D72" s="215"/>
      <c r="E72" s="214"/>
      <c r="F72" s="214"/>
      <c r="G72" s="214"/>
      <c r="H72" s="214"/>
      <c r="I72" s="235"/>
    </row>
    <row r="73" spans="1:9" ht="39.75" customHeight="1">
      <c r="A73" s="220" t="s">
        <v>239</v>
      </c>
      <c r="B73" s="221" t="s">
        <v>235</v>
      </c>
      <c r="C73" s="222" t="s">
        <v>240</v>
      </c>
      <c r="D73" s="223" t="s">
        <v>241</v>
      </c>
      <c r="E73" s="214"/>
      <c r="F73" s="224" t="s">
        <v>239</v>
      </c>
      <c r="G73" s="221" t="s">
        <v>235</v>
      </c>
      <c r="H73" s="222" t="s">
        <v>240</v>
      </c>
      <c r="I73" s="225" t="s">
        <v>241</v>
      </c>
    </row>
    <row r="74" spans="1:9" ht="15">
      <c r="A74" s="219">
        <f>F71+I71</f>
        <v>325.09999999999997</v>
      </c>
      <c r="B74" s="216" t="s">
        <v>236</v>
      </c>
      <c r="C74" s="217" t="s">
        <v>23</v>
      </c>
      <c r="D74" s="215">
        <v>0.3</v>
      </c>
      <c r="E74" s="214"/>
      <c r="F74" s="215">
        <f>A95+D95</f>
        <v>376.2999999999999</v>
      </c>
      <c r="G74" s="216" t="s">
        <v>217</v>
      </c>
      <c r="H74" s="217" t="s">
        <v>19</v>
      </c>
      <c r="I74" s="218">
        <v>1.6</v>
      </c>
    </row>
    <row r="75" spans="1:9" ht="15">
      <c r="A75" s="219">
        <f>A74+D74</f>
        <v>325.39999999999998</v>
      </c>
      <c r="B75" s="216" t="s">
        <v>237</v>
      </c>
      <c r="C75" s="217" t="s">
        <v>24</v>
      </c>
      <c r="D75" s="215">
        <v>1</v>
      </c>
      <c r="E75" s="214"/>
      <c r="F75" s="215">
        <f t="shared" ref="F75:F91" si="9">F74+I74</f>
        <v>377.89999999999992</v>
      </c>
      <c r="G75" s="216" t="s">
        <v>217</v>
      </c>
      <c r="H75" s="217" t="s">
        <v>58</v>
      </c>
      <c r="I75" s="218">
        <v>1.3</v>
      </c>
    </row>
    <row r="76" spans="1:9" ht="15">
      <c r="A76" s="219">
        <f t="shared" ref="A76:A81" si="10">A75+D75</f>
        <v>326.39999999999998</v>
      </c>
      <c r="B76" s="216" t="s">
        <v>236</v>
      </c>
      <c r="C76" s="217" t="s">
        <v>54</v>
      </c>
      <c r="D76" s="215">
        <v>1.9</v>
      </c>
      <c r="E76" s="214"/>
      <c r="F76" s="215">
        <f t="shared" si="9"/>
        <v>379.19999999999993</v>
      </c>
      <c r="G76" s="216" t="s">
        <v>236</v>
      </c>
      <c r="H76" s="217" t="s">
        <v>147</v>
      </c>
      <c r="I76" s="218">
        <v>0.7</v>
      </c>
    </row>
    <row r="77" spans="1:9" ht="15">
      <c r="A77" s="219">
        <f t="shared" si="10"/>
        <v>328.29999999999995</v>
      </c>
      <c r="B77" s="216" t="s">
        <v>237</v>
      </c>
      <c r="C77" s="217" t="s">
        <v>148</v>
      </c>
      <c r="D77" s="215">
        <v>1.4</v>
      </c>
      <c r="E77" s="214"/>
      <c r="F77" s="215">
        <f t="shared" si="9"/>
        <v>379.89999999999992</v>
      </c>
      <c r="G77" s="216" t="s">
        <v>237</v>
      </c>
      <c r="H77" s="217" t="s">
        <v>64</v>
      </c>
      <c r="I77" s="218">
        <v>1.4</v>
      </c>
    </row>
    <row r="78" spans="1:9" ht="15">
      <c r="A78" s="219">
        <f t="shared" si="10"/>
        <v>329.69999999999993</v>
      </c>
      <c r="B78" s="216" t="s">
        <v>237</v>
      </c>
      <c r="C78" s="217" t="s">
        <v>220</v>
      </c>
      <c r="D78" s="215">
        <v>5.8</v>
      </c>
      <c r="E78" s="214"/>
      <c r="F78" s="215">
        <f t="shared" si="9"/>
        <v>381.2999999999999</v>
      </c>
      <c r="G78" s="216" t="s">
        <v>236</v>
      </c>
      <c r="H78" s="217" t="s">
        <v>111</v>
      </c>
      <c r="I78" s="218">
        <v>6</v>
      </c>
    </row>
    <row r="79" spans="1:9" ht="15">
      <c r="A79" s="219">
        <f t="shared" si="10"/>
        <v>335.49999999999994</v>
      </c>
      <c r="B79" s="216" t="s">
        <v>236</v>
      </c>
      <c r="C79" s="217" t="s">
        <v>25</v>
      </c>
      <c r="D79" s="215">
        <v>2.4</v>
      </c>
      <c r="E79" s="214"/>
      <c r="F79" s="215">
        <f t="shared" si="9"/>
        <v>387.2999999999999</v>
      </c>
      <c r="G79" s="216" t="s">
        <v>236</v>
      </c>
      <c r="H79" s="217" t="s">
        <v>149</v>
      </c>
      <c r="I79" s="218">
        <v>0.3</v>
      </c>
    </row>
    <row r="80" spans="1:9" ht="15">
      <c r="A80" s="219">
        <f t="shared" si="10"/>
        <v>337.89999999999992</v>
      </c>
      <c r="B80" s="216" t="s">
        <v>237</v>
      </c>
      <c r="C80" s="217" t="s">
        <v>8</v>
      </c>
      <c r="D80" s="215">
        <v>2.7</v>
      </c>
      <c r="E80" s="214"/>
      <c r="F80" s="215">
        <f t="shared" si="9"/>
        <v>387.59999999999991</v>
      </c>
      <c r="G80" s="216" t="s">
        <v>236</v>
      </c>
      <c r="H80" s="217" t="s">
        <v>1</v>
      </c>
      <c r="I80" s="218">
        <v>0.3</v>
      </c>
    </row>
    <row r="81" spans="1:9" ht="15">
      <c r="A81" s="219">
        <f t="shared" si="10"/>
        <v>340.59999999999991</v>
      </c>
      <c r="B81" s="216" t="s">
        <v>237</v>
      </c>
      <c r="C81" s="217" t="s">
        <v>7</v>
      </c>
      <c r="D81" s="215">
        <v>6.3</v>
      </c>
      <c r="E81" s="214"/>
      <c r="F81" s="215">
        <f t="shared" si="9"/>
        <v>387.89999999999992</v>
      </c>
      <c r="G81" s="216" t="s">
        <v>2</v>
      </c>
      <c r="H81" s="217" t="s">
        <v>3</v>
      </c>
      <c r="I81" s="218">
        <v>1.5</v>
      </c>
    </row>
    <row r="82" spans="1:9" ht="15">
      <c r="A82" s="219"/>
      <c r="B82" s="216"/>
      <c r="C82" s="217"/>
      <c r="D82" s="215"/>
      <c r="E82" s="214"/>
      <c r="F82" s="215">
        <f t="shared" si="9"/>
        <v>389.39999999999992</v>
      </c>
      <c r="G82" s="216" t="s">
        <v>217</v>
      </c>
      <c r="H82" s="217" t="s">
        <v>4</v>
      </c>
      <c r="I82" s="218">
        <v>0</v>
      </c>
    </row>
    <row r="83" spans="1:9" ht="15">
      <c r="A83" s="211">
        <f>A81+D81</f>
        <v>346.89999999999992</v>
      </c>
      <c r="B83" s="216"/>
      <c r="C83" s="212" t="s">
        <v>134</v>
      </c>
      <c r="D83" s="215"/>
      <c r="E83" s="214"/>
      <c r="F83" s="215">
        <f t="shared" si="9"/>
        <v>389.39999999999992</v>
      </c>
      <c r="G83" s="216" t="s">
        <v>217</v>
      </c>
      <c r="H83" s="217" t="s">
        <v>3</v>
      </c>
      <c r="I83" s="218">
        <v>1.8</v>
      </c>
    </row>
    <row r="84" spans="1:9" ht="15">
      <c r="A84" s="219"/>
      <c r="B84" s="216"/>
      <c r="C84" s="212" t="s">
        <v>135</v>
      </c>
      <c r="D84" s="215"/>
      <c r="E84" s="214"/>
      <c r="F84" s="215">
        <f t="shared" si="9"/>
        <v>391.19999999999993</v>
      </c>
      <c r="G84" s="216" t="s">
        <v>237</v>
      </c>
      <c r="H84" s="217" t="s">
        <v>5</v>
      </c>
      <c r="I84" s="218">
        <v>0</v>
      </c>
    </row>
    <row r="85" spans="1:9" ht="15">
      <c r="A85" s="219"/>
      <c r="B85" s="216"/>
      <c r="C85" s="212" t="s">
        <v>34</v>
      </c>
      <c r="D85" s="215"/>
      <c r="E85" s="214"/>
      <c r="F85" s="215">
        <f t="shared" si="9"/>
        <v>391.19999999999993</v>
      </c>
      <c r="G85" s="216" t="s">
        <v>236</v>
      </c>
      <c r="H85" s="217" t="s">
        <v>102</v>
      </c>
      <c r="I85" s="218">
        <v>3.7</v>
      </c>
    </row>
    <row r="86" spans="1:9" ht="15">
      <c r="A86" s="219"/>
      <c r="B86" s="216"/>
      <c r="C86" s="212" t="s">
        <v>136</v>
      </c>
      <c r="D86" s="215"/>
      <c r="E86" s="214"/>
      <c r="F86" s="215">
        <f t="shared" si="9"/>
        <v>394.89999999999992</v>
      </c>
      <c r="G86" s="216" t="s">
        <v>236</v>
      </c>
      <c r="H86" s="217" t="s">
        <v>84</v>
      </c>
      <c r="I86" s="218">
        <v>2.6</v>
      </c>
    </row>
    <row r="87" spans="1:9" ht="15">
      <c r="A87" s="219"/>
      <c r="B87" s="216"/>
      <c r="C87" s="217"/>
      <c r="D87" s="215"/>
      <c r="E87" s="214"/>
      <c r="F87" s="215">
        <f t="shared" si="9"/>
        <v>397.49999999999994</v>
      </c>
      <c r="G87" s="216" t="s">
        <v>217</v>
      </c>
      <c r="H87" s="217" t="s">
        <v>73</v>
      </c>
      <c r="I87" s="218">
        <v>1.1000000000000001</v>
      </c>
    </row>
    <row r="88" spans="1:9" ht="15">
      <c r="A88" s="219">
        <f>A83</f>
        <v>346.89999999999992</v>
      </c>
      <c r="B88" s="216" t="s">
        <v>236</v>
      </c>
      <c r="C88" s="217" t="s">
        <v>0</v>
      </c>
      <c r="D88" s="215">
        <v>2.1</v>
      </c>
      <c r="E88" s="214"/>
      <c r="F88" s="215">
        <f t="shared" si="9"/>
        <v>398.59999999999997</v>
      </c>
      <c r="G88" s="216" t="s">
        <v>237</v>
      </c>
      <c r="H88" s="217" t="s">
        <v>101</v>
      </c>
      <c r="I88" s="218">
        <v>3.6</v>
      </c>
    </row>
    <row r="89" spans="1:9" ht="15">
      <c r="A89" s="219">
        <f>A88+D88</f>
        <v>348.99999999999994</v>
      </c>
      <c r="B89" s="216" t="s">
        <v>237</v>
      </c>
      <c r="C89" s="217" t="s">
        <v>146</v>
      </c>
      <c r="D89" s="215">
        <v>10.4</v>
      </c>
      <c r="E89" s="214"/>
      <c r="F89" s="215">
        <f t="shared" si="9"/>
        <v>402.2</v>
      </c>
      <c r="G89" s="216" t="s">
        <v>237</v>
      </c>
      <c r="H89" s="217" t="s">
        <v>245</v>
      </c>
      <c r="I89" s="218">
        <v>2.4</v>
      </c>
    </row>
    <row r="90" spans="1:9" ht="15">
      <c r="A90" s="219">
        <f>A89+D89</f>
        <v>359.39999999999992</v>
      </c>
      <c r="B90" s="216" t="s">
        <v>217</v>
      </c>
      <c r="C90" s="217" t="s">
        <v>209</v>
      </c>
      <c r="D90" s="215">
        <v>6.4</v>
      </c>
      <c r="E90" s="214"/>
      <c r="F90" s="215">
        <f t="shared" si="9"/>
        <v>404.59999999999997</v>
      </c>
      <c r="G90" s="216" t="s">
        <v>236</v>
      </c>
      <c r="H90" s="217" t="s">
        <v>83</v>
      </c>
      <c r="I90" s="218">
        <v>0.5</v>
      </c>
    </row>
    <row r="91" spans="1:9" ht="15">
      <c r="A91" s="219">
        <f>A90+D90</f>
        <v>365.7999999999999</v>
      </c>
      <c r="B91" s="216" t="s">
        <v>137</v>
      </c>
      <c r="C91" s="217" t="s">
        <v>138</v>
      </c>
      <c r="D91" s="215">
        <v>0.6</v>
      </c>
      <c r="E91" s="214"/>
      <c r="F91" s="215">
        <f t="shared" si="9"/>
        <v>405.09999999999997</v>
      </c>
      <c r="G91" s="216" t="s">
        <v>236</v>
      </c>
      <c r="H91" s="217" t="s">
        <v>142</v>
      </c>
      <c r="I91" s="218">
        <v>0.1</v>
      </c>
    </row>
    <row r="92" spans="1:9" ht="15">
      <c r="A92" s="219">
        <f>A91+D91</f>
        <v>366.39999999999992</v>
      </c>
      <c r="B92" s="216" t="s">
        <v>237</v>
      </c>
      <c r="C92" s="217" t="s">
        <v>13</v>
      </c>
      <c r="D92" s="215">
        <v>3.1</v>
      </c>
      <c r="E92" s="214"/>
      <c r="F92" s="215"/>
      <c r="G92" s="216"/>
      <c r="H92" s="217"/>
      <c r="I92" s="218"/>
    </row>
    <row r="93" spans="1:9" ht="15">
      <c r="A93" s="219">
        <f>A92+D92</f>
        <v>369.49999999999994</v>
      </c>
      <c r="B93" s="216" t="s">
        <v>236</v>
      </c>
      <c r="C93" s="217" t="s">
        <v>56</v>
      </c>
      <c r="D93" s="215">
        <v>4.4000000000000004</v>
      </c>
      <c r="E93" s="214"/>
      <c r="F93" s="213">
        <f>F91+I91</f>
        <v>405.2</v>
      </c>
      <c r="G93" s="212" t="s">
        <v>237</v>
      </c>
      <c r="H93" s="212" t="s">
        <v>27</v>
      </c>
      <c r="I93" s="218"/>
    </row>
    <row r="94" spans="1:9" ht="15">
      <c r="A94" s="219"/>
      <c r="B94" s="216"/>
      <c r="C94" s="217" t="s">
        <v>9</v>
      </c>
      <c r="D94" s="215"/>
      <c r="E94" s="214"/>
      <c r="F94" s="215"/>
      <c r="G94" s="216"/>
      <c r="H94" s="236" t="s">
        <v>238</v>
      </c>
      <c r="I94" s="218"/>
    </row>
    <row r="95" spans="1:9" ht="16" thickBot="1">
      <c r="A95" s="237">
        <f>A93+D93</f>
        <v>373.89999999999992</v>
      </c>
      <c r="B95" s="238" t="s">
        <v>217</v>
      </c>
      <c r="C95" s="239" t="s">
        <v>139</v>
      </c>
      <c r="D95" s="240">
        <v>2.4</v>
      </c>
      <c r="E95" s="241"/>
      <c r="F95" s="240"/>
      <c r="G95" s="238"/>
      <c r="H95" s="239"/>
      <c r="I95" s="242"/>
    </row>
    <row r="102" spans="1:4">
      <c r="A102" s="97"/>
      <c r="B102" s="98"/>
      <c r="C102" s="99"/>
      <c r="D102" s="100"/>
    </row>
    <row r="103" spans="1:4">
      <c r="A103" s="97"/>
      <c r="B103" s="98"/>
      <c r="C103" s="99"/>
      <c r="D103" s="97"/>
    </row>
  </sheetData>
  <phoneticPr fontId="16" type="noConversion"/>
  <printOptions horizontalCentered="1" verticalCentered="1"/>
  <pageMargins left="0.43000000000000005" right="0.43000000000000005" top="0.63000000000000012" bottom="0.59" header="0.24000000000000002" footer="0.24000000000000002"/>
  <pageSetup scale="91" fitToHeight="2" orientation="portrait"/>
  <headerFooter alignWithMargins="0">
    <oddHeader>&amp;L&amp;8&amp;A&amp;C&amp;"Arial,Bold"VANCOUVER ISLAND
BACKROAD 400 BREVET&amp;R&amp;8Page &amp;P of &amp;N</oddHeader>
    <oddFooter>&amp;L&amp;8L = Left
SO = Straight On
R = Right&amp;CBC Randonneur Cycling Club
&amp;8Affiliated with &amp;"Arial,Italic"Cycling BC&amp;"Arial,Regular"
Founding member of&amp;"Arial,Italic" Les Randonneurs Mondiaux&amp;R&amp;8Organizer:250 388-5365
cel:250 361-7622</oddFooter>
  </headerFooter>
  <rowBreaks count="2" manualBreakCount="2">
    <brk id="48" max="16383" man="1"/>
    <brk id="103" max="16383" man="1"/>
  </rowBreaks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D174"/>
  <sheetViews>
    <sheetView workbookViewId="0">
      <selection activeCell="G33" sqref="G33"/>
    </sheetView>
  </sheetViews>
  <sheetFormatPr baseColWidth="10" defaultColWidth="11.5" defaultRowHeight="12" x14ac:dyDescent="0"/>
  <cols>
    <col min="1" max="1" width="5.83203125" customWidth="1"/>
    <col min="2" max="2" width="5.5" customWidth="1"/>
    <col min="3" max="3" width="29.5" customWidth="1"/>
    <col min="4" max="4" width="5.5" customWidth="1"/>
  </cols>
  <sheetData>
    <row r="1" spans="1:4" ht="53" thickBot="1">
      <c r="A1" s="125" t="s">
        <v>239</v>
      </c>
      <c r="B1" s="126" t="s">
        <v>235</v>
      </c>
      <c r="C1" s="127" t="s">
        <v>240</v>
      </c>
      <c r="D1" s="128" t="s">
        <v>241</v>
      </c>
    </row>
    <row r="2" spans="1:4">
      <c r="A2" s="129"/>
      <c r="B2" s="130"/>
      <c r="C2" s="130" t="s">
        <v>68</v>
      </c>
      <c r="D2" s="131"/>
    </row>
    <row r="3" spans="1:4">
      <c r="A3" s="129"/>
      <c r="B3" s="130"/>
      <c r="C3" s="130" t="s">
        <v>29</v>
      </c>
      <c r="D3" s="131"/>
    </row>
    <row r="4" spans="1:4">
      <c r="A4" s="88"/>
      <c r="B4" s="89"/>
      <c r="C4" s="90"/>
      <c r="D4" s="81"/>
    </row>
    <row r="5" spans="1:4">
      <c r="A5" s="88">
        <v>0</v>
      </c>
      <c r="B5" s="89" t="s">
        <v>236</v>
      </c>
      <c r="C5" s="90" t="s">
        <v>30</v>
      </c>
      <c r="D5" s="81">
        <v>0</v>
      </c>
    </row>
    <row r="6" spans="1:4">
      <c r="A6" s="88">
        <f>A5+D5</f>
        <v>0</v>
      </c>
      <c r="B6" s="89" t="s">
        <v>237</v>
      </c>
      <c r="C6" s="87" t="s">
        <v>142</v>
      </c>
      <c r="D6" s="81">
        <v>0.2</v>
      </c>
    </row>
    <row r="7" spans="1:4">
      <c r="A7" s="88">
        <f>A6+D6</f>
        <v>0.2</v>
      </c>
      <c r="B7" s="89" t="s">
        <v>237</v>
      </c>
      <c r="C7" s="90" t="s">
        <v>204</v>
      </c>
      <c r="D7" s="81">
        <v>1.4</v>
      </c>
    </row>
    <row r="8" spans="1:4">
      <c r="A8" s="88">
        <f>A7+D7</f>
        <v>1.5999999999999999</v>
      </c>
      <c r="B8" s="89" t="s">
        <v>236</v>
      </c>
      <c r="C8" s="90" t="s">
        <v>214</v>
      </c>
      <c r="D8" s="81">
        <v>0.5</v>
      </c>
    </row>
    <row r="9" spans="1:4">
      <c r="A9" s="88">
        <f>A8+D8</f>
        <v>2.0999999999999996</v>
      </c>
      <c r="B9" s="89" t="s">
        <v>237</v>
      </c>
      <c r="C9" s="90" t="s">
        <v>192</v>
      </c>
      <c r="D9" s="81">
        <v>6.1</v>
      </c>
    </row>
    <row r="10" spans="1:4">
      <c r="A10" s="88">
        <f t="shared" ref="A10:A19" si="0">A9+D9</f>
        <v>8.1999999999999993</v>
      </c>
      <c r="B10" s="89" t="s">
        <v>236</v>
      </c>
      <c r="C10" s="90" t="s">
        <v>193</v>
      </c>
      <c r="D10" s="81">
        <v>4.5999999999999996</v>
      </c>
    </row>
    <row r="11" spans="1:4">
      <c r="A11" s="88">
        <f t="shared" si="0"/>
        <v>12.799999999999999</v>
      </c>
      <c r="B11" s="89" t="s">
        <v>205</v>
      </c>
      <c r="C11" s="90" t="s">
        <v>206</v>
      </c>
      <c r="D11" s="81">
        <v>1.5</v>
      </c>
    </row>
    <row r="12" spans="1:4">
      <c r="A12" s="88">
        <f t="shared" si="0"/>
        <v>14.299999999999999</v>
      </c>
      <c r="B12" s="89" t="s">
        <v>236</v>
      </c>
      <c r="C12" s="90" t="s">
        <v>164</v>
      </c>
      <c r="D12" s="81">
        <v>5.0999999999999996</v>
      </c>
    </row>
    <row r="13" spans="1:4">
      <c r="A13" s="88">
        <f>A12+D12</f>
        <v>19.399999999999999</v>
      </c>
      <c r="B13" s="89" t="s">
        <v>217</v>
      </c>
      <c r="C13" s="90" t="s">
        <v>32</v>
      </c>
      <c r="D13" s="81">
        <v>5.2</v>
      </c>
    </row>
    <row r="14" spans="1:4">
      <c r="A14" s="88">
        <f t="shared" si="0"/>
        <v>24.599999999999998</v>
      </c>
      <c r="B14" s="89" t="s">
        <v>236</v>
      </c>
      <c r="C14" s="90" t="s">
        <v>165</v>
      </c>
      <c r="D14" s="81">
        <v>6.1</v>
      </c>
    </row>
    <row r="15" spans="1:4">
      <c r="A15" s="88">
        <f t="shared" si="0"/>
        <v>30.699999999999996</v>
      </c>
      <c r="B15" s="89" t="s">
        <v>237</v>
      </c>
      <c r="C15" s="90" t="s">
        <v>190</v>
      </c>
      <c r="D15" s="81">
        <v>4.4000000000000004</v>
      </c>
    </row>
    <row r="16" spans="1:4">
      <c r="A16" s="88">
        <f t="shared" si="0"/>
        <v>35.099999999999994</v>
      </c>
      <c r="B16" s="89" t="s">
        <v>236</v>
      </c>
      <c r="C16" s="90" t="s">
        <v>38</v>
      </c>
      <c r="D16" s="81">
        <v>5.9</v>
      </c>
    </row>
    <row r="17" spans="1:4">
      <c r="A17" s="88">
        <f>A16+D16</f>
        <v>40.999999999999993</v>
      </c>
      <c r="B17" s="89" t="s">
        <v>236</v>
      </c>
      <c r="C17" s="90" t="s">
        <v>166</v>
      </c>
      <c r="D17" s="81">
        <v>2.4</v>
      </c>
    </row>
    <row r="18" spans="1:4">
      <c r="A18" s="88">
        <f>A17+D17</f>
        <v>43.399999999999991</v>
      </c>
      <c r="B18" s="89" t="s">
        <v>217</v>
      </c>
      <c r="C18" s="90" t="s">
        <v>167</v>
      </c>
      <c r="D18" s="81">
        <v>6.5</v>
      </c>
    </row>
    <row r="19" spans="1:4">
      <c r="A19" s="88">
        <f t="shared" si="0"/>
        <v>49.899999999999991</v>
      </c>
      <c r="B19" s="89" t="s">
        <v>217</v>
      </c>
      <c r="C19" s="90" t="s">
        <v>209</v>
      </c>
      <c r="D19" s="81">
        <v>1</v>
      </c>
    </row>
    <row r="20" spans="1:4">
      <c r="A20" s="88"/>
      <c r="B20" s="89"/>
      <c r="C20" s="90"/>
      <c r="D20" s="81"/>
    </row>
    <row r="21" spans="1:4">
      <c r="A21" s="129">
        <f>A19+D19</f>
        <v>50.899999999999991</v>
      </c>
      <c r="B21" s="130" t="s">
        <v>236</v>
      </c>
      <c r="C21" s="130" t="s">
        <v>211</v>
      </c>
      <c r="D21" s="81"/>
    </row>
    <row r="22" spans="1:4">
      <c r="A22" s="88"/>
      <c r="B22" s="89"/>
      <c r="C22" s="130" t="s">
        <v>212</v>
      </c>
      <c r="D22" s="81"/>
    </row>
    <row r="23" spans="1:4">
      <c r="A23" s="178"/>
      <c r="B23" s="157"/>
      <c r="C23" s="193" t="s">
        <v>210</v>
      </c>
      <c r="D23" s="155"/>
    </row>
    <row r="24" spans="1:4">
      <c r="A24" s="171"/>
      <c r="B24" s="168"/>
      <c r="C24" s="168"/>
      <c r="D24" s="167"/>
    </row>
    <row r="25" spans="1:4">
      <c r="A25" s="88">
        <f>A21</f>
        <v>50.899999999999991</v>
      </c>
      <c r="B25" s="86" t="s">
        <v>236</v>
      </c>
      <c r="C25" s="87" t="s">
        <v>194</v>
      </c>
      <c r="D25" s="81">
        <v>9.5</v>
      </c>
    </row>
    <row r="26" spans="1:4">
      <c r="A26" s="88">
        <f>A25+D25</f>
        <v>60.399999999999991</v>
      </c>
      <c r="B26" s="86" t="s">
        <v>236</v>
      </c>
      <c r="C26" s="87" t="s">
        <v>59</v>
      </c>
      <c r="D26" s="81">
        <v>2.8</v>
      </c>
    </row>
    <row r="27" spans="1:4">
      <c r="A27" s="164">
        <f>A26+D26</f>
        <v>63.199999999999989</v>
      </c>
      <c r="B27" s="165" t="s">
        <v>236</v>
      </c>
      <c r="C27" s="168" t="s">
        <v>60</v>
      </c>
      <c r="D27" s="161">
        <v>0.1</v>
      </c>
    </row>
    <row r="28" spans="1:4">
      <c r="A28" s="88">
        <f>A27+D27</f>
        <v>63.29999999999999</v>
      </c>
      <c r="B28" s="89" t="s">
        <v>237</v>
      </c>
      <c r="C28" s="90" t="s">
        <v>291</v>
      </c>
      <c r="D28" s="81">
        <v>1.9</v>
      </c>
    </row>
    <row r="29" spans="1:4">
      <c r="A29" s="88">
        <f>A28+D28</f>
        <v>65.199999999999989</v>
      </c>
      <c r="B29" s="89" t="s">
        <v>217</v>
      </c>
      <c r="C29" s="90" t="s">
        <v>292</v>
      </c>
      <c r="D29" s="81">
        <v>0</v>
      </c>
    </row>
    <row r="30" spans="1:4">
      <c r="A30" s="88">
        <f t="shared" ref="A30:A35" si="1">A29+D29</f>
        <v>65.199999999999989</v>
      </c>
      <c r="B30" s="89" t="s">
        <v>237</v>
      </c>
      <c r="C30" s="90" t="s">
        <v>168</v>
      </c>
      <c r="D30" s="81">
        <v>3.5</v>
      </c>
    </row>
    <row r="31" spans="1:4">
      <c r="A31" s="169">
        <f t="shared" si="1"/>
        <v>68.699999999999989</v>
      </c>
      <c r="B31" s="165" t="s">
        <v>217</v>
      </c>
      <c r="C31" s="156" t="s">
        <v>11</v>
      </c>
      <c r="D31" s="161">
        <v>4.9000000000000004</v>
      </c>
    </row>
    <row r="32" spans="1:4">
      <c r="A32" s="88">
        <f t="shared" si="1"/>
        <v>73.599999999999994</v>
      </c>
      <c r="B32" s="86" t="s">
        <v>236</v>
      </c>
      <c r="C32" s="87" t="s">
        <v>151</v>
      </c>
      <c r="D32" s="172">
        <v>0.6</v>
      </c>
    </row>
    <row r="33" spans="1:4">
      <c r="A33" s="164">
        <f t="shared" si="1"/>
        <v>74.199999999999989</v>
      </c>
      <c r="B33" s="165" t="s">
        <v>207</v>
      </c>
      <c r="C33" s="156" t="s">
        <v>150</v>
      </c>
      <c r="D33" s="161">
        <v>9.9</v>
      </c>
    </row>
    <row r="34" spans="1:4">
      <c r="A34" s="164">
        <f t="shared" si="1"/>
        <v>84.1</v>
      </c>
      <c r="B34" s="165" t="s">
        <v>236</v>
      </c>
      <c r="C34" s="156" t="s">
        <v>195</v>
      </c>
      <c r="D34" s="161">
        <v>4.0999999999999996</v>
      </c>
    </row>
    <row r="35" spans="1:4">
      <c r="A35" s="164">
        <f t="shared" si="1"/>
        <v>88.199999999999989</v>
      </c>
      <c r="B35" s="165" t="s">
        <v>217</v>
      </c>
      <c r="C35" s="156" t="s">
        <v>218</v>
      </c>
      <c r="D35" s="161">
        <v>6.5</v>
      </c>
    </row>
    <row r="36" spans="1:4">
      <c r="A36" s="164">
        <f>+A35+D35</f>
        <v>94.699999999999989</v>
      </c>
      <c r="B36" s="165" t="s">
        <v>217</v>
      </c>
      <c r="C36" s="156" t="s">
        <v>169</v>
      </c>
      <c r="D36" s="161">
        <v>1.2</v>
      </c>
    </row>
    <row r="37" spans="1:4">
      <c r="A37" s="164">
        <f>+A36+D36</f>
        <v>95.899999999999991</v>
      </c>
      <c r="B37" s="165" t="s">
        <v>237</v>
      </c>
      <c r="C37" s="156" t="s">
        <v>20</v>
      </c>
      <c r="D37" s="161">
        <v>0.3</v>
      </c>
    </row>
    <row r="38" spans="1:4">
      <c r="A38" s="164">
        <f t="shared" ref="A38:A44" si="2">A37+D37</f>
        <v>96.199999999999989</v>
      </c>
      <c r="B38" s="165" t="s">
        <v>217</v>
      </c>
      <c r="C38" s="156" t="s">
        <v>85</v>
      </c>
      <c r="D38" s="161">
        <v>0.3</v>
      </c>
    </row>
    <row r="39" spans="1:4">
      <c r="A39" s="164">
        <f t="shared" si="2"/>
        <v>96.499999999999986</v>
      </c>
      <c r="B39" s="165" t="s">
        <v>236</v>
      </c>
      <c r="C39" s="156" t="s">
        <v>14</v>
      </c>
      <c r="D39" s="161">
        <v>0.2</v>
      </c>
    </row>
    <row r="40" spans="1:4">
      <c r="A40" s="164">
        <f t="shared" si="2"/>
        <v>96.699999999999989</v>
      </c>
      <c r="B40" s="165" t="s">
        <v>237</v>
      </c>
      <c r="C40" s="156" t="s">
        <v>12</v>
      </c>
      <c r="D40" s="161">
        <v>0.5</v>
      </c>
    </row>
    <row r="41" spans="1:4">
      <c r="A41" s="88">
        <f t="shared" si="2"/>
        <v>97.199999999999989</v>
      </c>
      <c r="B41" s="89" t="s">
        <v>217</v>
      </c>
      <c r="C41" s="90" t="s">
        <v>15</v>
      </c>
      <c r="D41" s="81">
        <v>0.5</v>
      </c>
    </row>
    <row r="42" spans="1:4">
      <c r="A42" s="88">
        <f t="shared" si="2"/>
        <v>97.699999999999989</v>
      </c>
      <c r="B42" s="89" t="s">
        <v>237</v>
      </c>
      <c r="C42" s="90" t="s">
        <v>271</v>
      </c>
      <c r="D42" s="81">
        <v>0.4</v>
      </c>
    </row>
    <row r="43" spans="1:4">
      <c r="A43" s="88">
        <f t="shared" si="2"/>
        <v>98.1</v>
      </c>
      <c r="B43" s="89" t="s">
        <v>236</v>
      </c>
      <c r="C43" s="90" t="s">
        <v>272</v>
      </c>
      <c r="D43" s="81">
        <v>0.7</v>
      </c>
    </row>
    <row r="44" spans="1:4">
      <c r="A44" s="185">
        <f t="shared" si="2"/>
        <v>98.8</v>
      </c>
      <c r="B44" s="186" t="s">
        <v>236</v>
      </c>
      <c r="C44" s="187" t="s">
        <v>273</v>
      </c>
      <c r="D44" s="188">
        <v>0.1</v>
      </c>
    </row>
    <row r="45" spans="1:4">
      <c r="A45" s="164">
        <f>A44+D44</f>
        <v>98.899999999999991</v>
      </c>
      <c r="B45" s="165"/>
      <c r="C45" s="156" t="s">
        <v>274</v>
      </c>
      <c r="D45" s="161"/>
    </row>
    <row r="46" spans="1:4">
      <c r="A46" s="164">
        <f>A45+D45</f>
        <v>98.899999999999991</v>
      </c>
      <c r="B46" s="165" t="s">
        <v>217</v>
      </c>
      <c r="C46" s="156" t="s">
        <v>275</v>
      </c>
      <c r="D46" s="161">
        <v>0.3</v>
      </c>
    </row>
    <row r="47" spans="1:4">
      <c r="A47" s="88">
        <f>A46+D46</f>
        <v>99.199999999999989</v>
      </c>
      <c r="B47" s="86" t="s">
        <v>237</v>
      </c>
      <c r="C47" s="87" t="s">
        <v>276</v>
      </c>
      <c r="D47" s="172">
        <v>1.1000000000000001</v>
      </c>
    </row>
    <row r="48" spans="1:4">
      <c r="A48" s="88">
        <f>A47+D47</f>
        <v>100.29999999999998</v>
      </c>
      <c r="B48" s="89" t="s">
        <v>236</v>
      </c>
      <c r="C48" s="90" t="s">
        <v>277</v>
      </c>
      <c r="D48" s="81">
        <v>2</v>
      </c>
    </row>
    <row r="49" spans="1:4">
      <c r="A49" s="88">
        <f t="shared" ref="A49:A59" si="3">A48+D48</f>
        <v>102.29999999999998</v>
      </c>
      <c r="B49" s="89" t="s">
        <v>236</v>
      </c>
      <c r="C49" s="146" t="s">
        <v>77</v>
      </c>
      <c r="D49" s="81">
        <v>8.8000000000000007</v>
      </c>
    </row>
    <row r="50" spans="1:4">
      <c r="A50" s="88">
        <f t="shared" si="3"/>
        <v>111.09999999999998</v>
      </c>
      <c r="B50" s="148" t="s">
        <v>236</v>
      </c>
      <c r="C50" s="146" t="s">
        <v>278</v>
      </c>
      <c r="D50" s="81">
        <v>0.8</v>
      </c>
    </row>
    <row r="51" spans="1:4">
      <c r="A51" s="88">
        <f t="shared" si="3"/>
        <v>111.89999999999998</v>
      </c>
      <c r="B51" s="89" t="s">
        <v>237</v>
      </c>
      <c r="C51" s="146" t="s">
        <v>16</v>
      </c>
      <c r="D51" s="81">
        <v>0.4</v>
      </c>
    </row>
    <row r="52" spans="1:4">
      <c r="A52" s="88">
        <f t="shared" si="3"/>
        <v>112.29999999999998</v>
      </c>
      <c r="B52" s="89" t="s">
        <v>217</v>
      </c>
      <c r="C52" s="146" t="s">
        <v>100</v>
      </c>
      <c r="D52" s="81">
        <v>1.4</v>
      </c>
    </row>
    <row r="53" spans="1:4">
      <c r="A53" s="88">
        <f t="shared" si="3"/>
        <v>113.69999999999999</v>
      </c>
      <c r="B53" s="89" t="s">
        <v>236</v>
      </c>
      <c r="C53" s="146" t="s">
        <v>17</v>
      </c>
      <c r="D53" s="81">
        <v>2.2000000000000002</v>
      </c>
    </row>
    <row r="54" spans="1:4">
      <c r="A54" s="88">
        <f t="shared" si="3"/>
        <v>115.89999999999999</v>
      </c>
      <c r="B54" s="89" t="s">
        <v>236</v>
      </c>
      <c r="C54" s="146" t="s">
        <v>21</v>
      </c>
      <c r="D54" s="81">
        <v>3.7</v>
      </c>
    </row>
    <row r="55" spans="1:4">
      <c r="A55" s="88">
        <f t="shared" si="3"/>
        <v>119.6</v>
      </c>
      <c r="B55" s="165" t="s">
        <v>236</v>
      </c>
      <c r="C55" s="170" t="s">
        <v>28</v>
      </c>
      <c r="D55" s="161">
        <v>5.9</v>
      </c>
    </row>
    <row r="56" spans="1:4">
      <c r="A56" s="88">
        <f t="shared" si="3"/>
        <v>125.5</v>
      </c>
      <c r="B56" s="89" t="s">
        <v>236</v>
      </c>
      <c r="C56" s="90" t="s">
        <v>215</v>
      </c>
      <c r="D56" s="81">
        <v>1.2</v>
      </c>
    </row>
    <row r="57" spans="1:4">
      <c r="A57" s="88">
        <f t="shared" si="3"/>
        <v>126.7</v>
      </c>
      <c r="B57" s="89" t="s">
        <v>236</v>
      </c>
      <c r="C57" s="90" t="s">
        <v>196</v>
      </c>
      <c r="D57" s="81">
        <v>2.2000000000000002</v>
      </c>
    </row>
    <row r="58" spans="1:4">
      <c r="A58" s="88">
        <f t="shared" si="3"/>
        <v>128.9</v>
      </c>
      <c r="B58" s="143" t="s">
        <v>217</v>
      </c>
      <c r="C58" s="144" t="s">
        <v>290</v>
      </c>
      <c r="D58" s="145">
        <v>3.7</v>
      </c>
    </row>
    <row r="59" spans="1:4">
      <c r="A59" s="88">
        <f t="shared" si="3"/>
        <v>132.6</v>
      </c>
      <c r="B59" s="86" t="s">
        <v>217</v>
      </c>
      <c r="C59" s="87" t="s">
        <v>18</v>
      </c>
      <c r="D59" s="145">
        <v>1.3</v>
      </c>
    </row>
    <row r="60" spans="1:4">
      <c r="A60" s="171"/>
      <c r="B60" s="168"/>
      <c r="C60" s="168"/>
      <c r="D60" s="167"/>
    </row>
    <row r="61" spans="1:4">
      <c r="A61" s="171"/>
      <c r="B61" s="168"/>
      <c r="C61" s="168"/>
      <c r="D61" s="167"/>
    </row>
    <row r="62" spans="1:4">
      <c r="A62" s="173">
        <f>A59+D59</f>
        <v>133.9</v>
      </c>
      <c r="B62" s="177" t="s">
        <v>236</v>
      </c>
      <c r="C62" s="152" t="s">
        <v>293</v>
      </c>
      <c r="D62" s="145"/>
    </row>
    <row r="63" spans="1:4">
      <c r="A63" s="171"/>
      <c r="B63" s="143"/>
      <c r="C63" s="244" t="s">
        <v>301</v>
      </c>
      <c r="D63" s="81"/>
    </row>
    <row r="64" spans="1:4">
      <c r="A64" s="164"/>
      <c r="B64" s="165"/>
      <c r="C64" s="246" t="s">
        <v>303</v>
      </c>
      <c r="D64" s="167"/>
    </row>
    <row r="65" spans="1:4">
      <c r="A65" s="171"/>
      <c r="B65" s="168"/>
      <c r="C65" s="168"/>
      <c r="D65" s="167"/>
    </row>
    <row r="66" spans="1:4">
      <c r="A66" s="171"/>
      <c r="B66" s="168"/>
      <c r="C66" s="168"/>
      <c r="D66" s="167"/>
    </row>
    <row r="67" spans="1:4">
      <c r="A67" s="164">
        <f>A62</f>
        <v>133.9</v>
      </c>
      <c r="B67" s="190" t="s">
        <v>236</v>
      </c>
      <c r="C67" s="191" t="s">
        <v>296</v>
      </c>
      <c r="D67" s="192">
        <v>3.3</v>
      </c>
    </row>
    <row r="68" spans="1:4">
      <c r="A68" s="164">
        <f>A67+D67</f>
        <v>137.20000000000002</v>
      </c>
      <c r="B68" s="190" t="s">
        <v>217</v>
      </c>
      <c r="C68" s="191" t="s">
        <v>297</v>
      </c>
      <c r="D68" s="192">
        <v>0.4</v>
      </c>
    </row>
    <row r="69" spans="1:4">
      <c r="A69" s="88">
        <f>A68+D68</f>
        <v>137.60000000000002</v>
      </c>
      <c r="B69" s="86" t="s">
        <v>217</v>
      </c>
      <c r="C69" s="87" t="s">
        <v>113</v>
      </c>
      <c r="D69" s="172">
        <v>1.7</v>
      </c>
    </row>
    <row r="70" spans="1:4">
      <c r="A70" s="88">
        <f t="shared" ref="A70:A90" si="4">A69+D69</f>
        <v>139.30000000000001</v>
      </c>
      <c r="B70" s="148" t="s">
        <v>236</v>
      </c>
      <c r="C70" s="146" t="s">
        <v>65</v>
      </c>
      <c r="D70" s="150">
        <v>6.6</v>
      </c>
    </row>
    <row r="71" spans="1:4">
      <c r="A71" s="160">
        <f t="shared" si="4"/>
        <v>145.9</v>
      </c>
      <c r="B71" s="148" t="s">
        <v>237</v>
      </c>
      <c r="C71" s="146" t="s">
        <v>86</v>
      </c>
      <c r="D71" s="150">
        <v>0.1</v>
      </c>
    </row>
    <row r="72" spans="1:4">
      <c r="A72" s="160">
        <f t="shared" si="4"/>
        <v>146</v>
      </c>
      <c r="B72" s="89" t="s">
        <v>236</v>
      </c>
      <c r="C72" s="90" t="s">
        <v>92</v>
      </c>
      <c r="D72" s="81">
        <v>2.2999999999999998</v>
      </c>
    </row>
    <row r="73" spans="1:4">
      <c r="A73" s="142">
        <f t="shared" si="4"/>
        <v>148.30000000000001</v>
      </c>
      <c r="B73" s="89" t="s">
        <v>236</v>
      </c>
      <c r="C73" s="146" t="s">
        <v>197</v>
      </c>
      <c r="D73" s="81">
        <v>1.2</v>
      </c>
    </row>
    <row r="74" spans="1:4">
      <c r="A74" s="88">
        <f t="shared" si="4"/>
        <v>149.5</v>
      </c>
      <c r="B74" s="89" t="s">
        <v>237</v>
      </c>
      <c r="C74" s="90" t="s">
        <v>74</v>
      </c>
      <c r="D74" s="81">
        <v>0.1</v>
      </c>
    </row>
    <row r="75" spans="1:4">
      <c r="A75" s="88">
        <f t="shared" si="4"/>
        <v>149.6</v>
      </c>
      <c r="B75" s="130"/>
      <c r="C75" s="146" t="s">
        <v>78</v>
      </c>
      <c r="D75" s="81"/>
    </row>
    <row r="76" spans="1:4">
      <c r="A76" s="88">
        <f t="shared" si="4"/>
        <v>149.6</v>
      </c>
      <c r="B76" s="89" t="s">
        <v>217</v>
      </c>
      <c r="C76" s="146" t="s">
        <v>75</v>
      </c>
      <c r="D76" s="81">
        <v>0.4</v>
      </c>
    </row>
    <row r="77" spans="1:4">
      <c r="A77" s="88">
        <f t="shared" si="4"/>
        <v>150</v>
      </c>
      <c r="B77" s="86" t="s">
        <v>236</v>
      </c>
      <c r="C77" s="147" t="s">
        <v>199</v>
      </c>
      <c r="D77" s="81">
        <v>0.3</v>
      </c>
    </row>
    <row r="78" spans="1:4">
      <c r="A78" s="88">
        <f t="shared" si="4"/>
        <v>150.30000000000001</v>
      </c>
      <c r="B78" s="89" t="s">
        <v>237</v>
      </c>
      <c r="C78" s="146" t="s">
        <v>198</v>
      </c>
      <c r="D78" s="81">
        <v>0.4</v>
      </c>
    </row>
    <row r="79" spans="1:4">
      <c r="A79" s="149">
        <f t="shared" si="4"/>
        <v>150.70000000000002</v>
      </c>
      <c r="B79" s="165" t="s">
        <v>236</v>
      </c>
      <c r="C79" s="156" t="s">
        <v>76</v>
      </c>
      <c r="D79" s="161">
        <v>1.1000000000000001</v>
      </c>
    </row>
    <row r="80" spans="1:4">
      <c r="A80" s="149">
        <f t="shared" si="4"/>
        <v>151.80000000000001</v>
      </c>
      <c r="B80" s="89" t="s">
        <v>237</v>
      </c>
      <c r="C80" s="90" t="s">
        <v>79</v>
      </c>
      <c r="D80" s="81">
        <v>1.6</v>
      </c>
    </row>
    <row r="81" spans="1:4">
      <c r="A81" s="88">
        <f t="shared" si="4"/>
        <v>153.4</v>
      </c>
      <c r="B81" s="89" t="s">
        <v>237</v>
      </c>
      <c r="C81" s="90" t="s">
        <v>40</v>
      </c>
      <c r="D81" s="81">
        <v>0.7</v>
      </c>
    </row>
    <row r="82" spans="1:4">
      <c r="A82" s="88">
        <f t="shared" si="4"/>
        <v>154.1</v>
      </c>
      <c r="B82" s="148" t="s">
        <v>236</v>
      </c>
      <c r="C82" s="146" t="s">
        <v>41</v>
      </c>
      <c r="D82" s="81">
        <v>1.6</v>
      </c>
    </row>
    <row r="83" spans="1:4">
      <c r="A83" s="88">
        <f t="shared" si="4"/>
        <v>155.69999999999999</v>
      </c>
      <c r="B83" s="89" t="s">
        <v>205</v>
      </c>
      <c r="C83" s="146" t="s">
        <v>88</v>
      </c>
      <c r="D83" s="81">
        <v>0.8</v>
      </c>
    </row>
    <row r="84" spans="1:4">
      <c r="A84" s="149">
        <f t="shared" si="4"/>
        <v>156.5</v>
      </c>
      <c r="B84" s="86" t="s">
        <v>236</v>
      </c>
      <c r="C84" s="147" t="s">
        <v>46</v>
      </c>
      <c r="D84" s="81">
        <v>8.1999999999999993</v>
      </c>
    </row>
    <row r="85" spans="1:4">
      <c r="A85" s="88">
        <f t="shared" si="4"/>
        <v>164.7</v>
      </c>
      <c r="B85" s="89" t="s">
        <v>236</v>
      </c>
      <c r="C85" s="146" t="s">
        <v>47</v>
      </c>
      <c r="D85" s="81">
        <v>1.9</v>
      </c>
    </row>
    <row r="86" spans="1:4">
      <c r="A86" s="88">
        <f t="shared" si="4"/>
        <v>166.6</v>
      </c>
      <c r="B86" s="86"/>
      <c r="C86" s="87" t="s">
        <v>48</v>
      </c>
      <c r="D86" s="81"/>
    </row>
    <row r="87" spans="1:4">
      <c r="A87" s="88">
        <f t="shared" si="4"/>
        <v>166.6</v>
      </c>
      <c r="B87" s="89" t="s">
        <v>237</v>
      </c>
      <c r="C87" s="90" t="s">
        <v>89</v>
      </c>
      <c r="D87" s="81">
        <v>0.7</v>
      </c>
    </row>
    <row r="88" spans="1:4">
      <c r="A88" s="178">
        <f t="shared" si="4"/>
        <v>167.29999999999998</v>
      </c>
      <c r="B88" s="186" t="s">
        <v>237</v>
      </c>
      <c r="C88" s="187" t="s">
        <v>49</v>
      </c>
      <c r="D88" s="188">
        <v>0</v>
      </c>
    </row>
    <row r="89" spans="1:4">
      <c r="A89" s="185">
        <f t="shared" si="4"/>
        <v>167.29999999999998</v>
      </c>
      <c r="B89" s="186" t="s">
        <v>236</v>
      </c>
      <c r="C89" s="187" t="s">
        <v>87</v>
      </c>
      <c r="D89" s="188">
        <v>0.2</v>
      </c>
    </row>
    <row r="90" spans="1:4">
      <c r="A90" s="164">
        <f t="shared" si="4"/>
        <v>167.49999999999997</v>
      </c>
      <c r="B90" s="165" t="s">
        <v>236</v>
      </c>
      <c r="C90" s="170" t="s">
        <v>90</v>
      </c>
      <c r="D90" s="161">
        <v>4.8</v>
      </c>
    </row>
    <row r="91" spans="1:4">
      <c r="A91" s="149">
        <f>A90+D90</f>
        <v>172.29999999999998</v>
      </c>
      <c r="B91" s="89" t="s">
        <v>237</v>
      </c>
      <c r="C91" s="146" t="s">
        <v>91</v>
      </c>
      <c r="D91" s="81">
        <v>4.7</v>
      </c>
    </row>
    <row r="92" spans="1:4">
      <c r="A92" s="88">
        <f>A91+D91</f>
        <v>176.99999999999997</v>
      </c>
      <c r="B92" s="89" t="s">
        <v>237</v>
      </c>
      <c r="C92" s="146" t="s">
        <v>118</v>
      </c>
      <c r="D92" s="81">
        <v>39.700000000000003</v>
      </c>
    </row>
    <row r="93" spans="1:4">
      <c r="A93" s="88"/>
      <c r="B93" s="89"/>
      <c r="C93" s="90"/>
      <c r="D93" s="81"/>
    </row>
    <row r="94" spans="1:4">
      <c r="A94" s="129">
        <f>A92+D92</f>
        <v>216.7</v>
      </c>
      <c r="B94" s="89" t="s">
        <v>236</v>
      </c>
      <c r="C94" s="130" t="s">
        <v>115</v>
      </c>
      <c r="D94" s="81"/>
    </row>
    <row r="95" spans="1:4">
      <c r="A95" s="88"/>
      <c r="B95" s="89"/>
      <c r="C95" s="130" t="s">
        <v>114</v>
      </c>
      <c r="D95" s="81"/>
    </row>
    <row r="96" spans="1:4">
      <c r="A96" s="88"/>
      <c r="B96" s="89"/>
      <c r="C96" s="153"/>
      <c r="D96" s="81"/>
    </row>
    <row r="97" spans="1:4">
      <c r="A97" s="88">
        <f>A94</f>
        <v>216.7</v>
      </c>
      <c r="B97" s="89" t="s">
        <v>237</v>
      </c>
      <c r="C97" s="90" t="s">
        <v>94</v>
      </c>
      <c r="D97" s="81">
        <v>52</v>
      </c>
    </row>
    <row r="98" spans="1:4">
      <c r="A98" s="164"/>
      <c r="B98" s="165"/>
      <c r="C98" s="90"/>
      <c r="D98" s="81"/>
    </row>
    <row r="99" spans="1:4">
      <c r="A99" s="173">
        <f>A97+D97</f>
        <v>268.7</v>
      </c>
      <c r="B99" s="166" t="s">
        <v>236</v>
      </c>
      <c r="C99" s="130" t="s">
        <v>116</v>
      </c>
      <c r="D99" s="81"/>
    </row>
    <row r="100" spans="1:4">
      <c r="A100" s="164"/>
      <c r="B100" s="165"/>
      <c r="C100" s="130" t="s">
        <v>119</v>
      </c>
      <c r="D100" s="81"/>
    </row>
    <row r="101" spans="1:4">
      <c r="A101" s="164"/>
      <c r="B101" s="165"/>
      <c r="C101" s="166" t="s">
        <v>117</v>
      </c>
      <c r="D101" s="161"/>
    </row>
    <row r="102" spans="1:4">
      <c r="A102" s="164"/>
      <c r="B102" s="165"/>
      <c r="C102" s="156"/>
      <c r="D102" s="161"/>
    </row>
    <row r="103" spans="1:4">
      <c r="A103" s="141">
        <f>A99</f>
        <v>268.7</v>
      </c>
      <c r="B103" s="89" t="s">
        <v>236</v>
      </c>
      <c r="C103" s="90" t="s">
        <v>94</v>
      </c>
      <c r="D103" s="81">
        <v>1.8</v>
      </c>
    </row>
    <row r="104" spans="1:4">
      <c r="A104" s="141">
        <f t="shared" ref="A104:A110" si="5">A103+D103</f>
        <v>270.5</v>
      </c>
      <c r="B104" s="89" t="s">
        <v>236</v>
      </c>
      <c r="C104" s="90" t="s">
        <v>61</v>
      </c>
      <c r="D104" s="81">
        <v>1.3</v>
      </c>
    </row>
    <row r="105" spans="1:4">
      <c r="A105" s="164">
        <f t="shared" si="5"/>
        <v>271.8</v>
      </c>
      <c r="B105" s="165" t="s">
        <v>237</v>
      </c>
      <c r="C105" s="156" t="s">
        <v>62</v>
      </c>
      <c r="D105" s="161">
        <v>0.1</v>
      </c>
    </row>
    <row r="106" spans="1:4">
      <c r="A106" s="164">
        <f t="shared" si="5"/>
        <v>271.90000000000003</v>
      </c>
      <c r="B106" s="165"/>
      <c r="C106" s="156" t="s">
        <v>63</v>
      </c>
      <c r="D106" s="161"/>
    </row>
    <row r="107" spans="1:4">
      <c r="A107" s="164">
        <f t="shared" si="5"/>
        <v>271.90000000000003</v>
      </c>
      <c r="B107" s="165" t="s">
        <v>207</v>
      </c>
      <c r="C107" s="156" t="s">
        <v>62</v>
      </c>
      <c r="D107" s="161">
        <v>0.1</v>
      </c>
    </row>
    <row r="108" spans="1:4">
      <c r="A108" s="164">
        <f t="shared" si="5"/>
        <v>272.00000000000006</v>
      </c>
      <c r="B108" s="165" t="s">
        <v>236</v>
      </c>
      <c r="C108" s="156" t="s">
        <v>279</v>
      </c>
      <c r="D108" s="161">
        <v>9.5</v>
      </c>
    </row>
    <row r="109" spans="1:4">
      <c r="A109" s="164">
        <f t="shared" si="5"/>
        <v>281.50000000000006</v>
      </c>
      <c r="B109" s="165" t="s">
        <v>237</v>
      </c>
      <c r="C109" s="156" t="s">
        <v>66</v>
      </c>
      <c r="D109" s="161">
        <v>5.5</v>
      </c>
    </row>
    <row r="110" spans="1:4">
      <c r="A110" s="141">
        <f t="shared" si="5"/>
        <v>287.00000000000006</v>
      </c>
      <c r="B110" s="86" t="s">
        <v>236</v>
      </c>
      <c r="C110" s="87" t="s">
        <v>96</v>
      </c>
      <c r="D110" s="81">
        <v>0.9</v>
      </c>
    </row>
    <row r="111" spans="1:4">
      <c r="A111" s="141"/>
      <c r="B111" s="86"/>
      <c r="C111" s="87" t="s">
        <v>50</v>
      </c>
      <c r="D111" s="81"/>
    </row>
    <row r="112" spans="1:4">
      <c r="A112" s="164">
        <f>A110+D110</f>
        <v>287.90000000000003</v>
      </c>
      <c r="B112" s="165" t="s">
        <v>217</v>
      </c>
      <c r="C112" s="156" t="s">
        <v>120</v>
      </c>
      <c r="D112" s="161">
        <v>0.1</v>
      </c>
    </row>
    <row r="113" spans="1:4">
      <c r="A113" s="88">
        <f>A112+D112</f>
        <v>288.00000000000006</v>
      </c>
      <c r="B113" s="89" t="s">
        <v>237</v>
      </c>
      <c r="C113" s="87" t="s">
        <v>126</v>
      </c>
      <c r="D113" s="81">
        <v>0.7</v>
      </c>
    </row>
    <row r="114" spans="1:4">
      <c r="A114" s="88">
        <f t="shared" ref="A114:A119" si="6">A113+D113</f>
        <v>288.70000000000005</v>
      </c>
      <c r="B114" s="89" t="s">
        <v>237</v>
      </c>
      <c r="C114" s="90" t="s">
        <v>127</v>
      </c>
      <c r="D114" s="81">
        <v>0.9</v>
      </c>
    </row>
    <row r="115" spans="1:4">
      <c r="A115" s="164">
        <f t="shared" si="6"/>
        <v>289.60000000000002</v>
      </c>
      <c r="B115" s="165" t="s">
        <v>236</v>
      </c>
      <c r="C115" s="156" t="s">
        <v>51</v>
      </c>
      <c r="D115" s="161">
        <v>0.1</v>
      </c>
    </row>
    <row r="116" spans="1:4">
      <c r="A116" s="88">
        <f t="shared" si="6"/>
        <v>289.70000000000005</v>
      </c>
      <c r="B116" s="86" t="s">
        <v>205</v>
      </c>
      <c r="C116" s="87" t="s">
        <v>128</v>
      </c>
      <c r="D116" s="81">
        <v>0.7</v>
      </c>
    </row>
    <row r="117" spans="1:4">
      <c r="A117" s="88">
        <f t="shared" si="6"/>
        <v>290.40000000000003</v>
      </c>
      <c r="B117" s="86" t="s">
        <v>217</v>
      </c>
      <c r="C117" s="87" t="s">
        <v>97</v>
      </c>
      <c r="D117" s="81">
        <v>1.1000000000000001</v>
      </c>
    </row>
    <row r="118" spans="1:4">
      <c r="A118" s="88">
        <f t="shared" si="6"/>
        <v>291.50000000000006</v>
      </c>
      <c r="B118" s="86" t="s">
        <v>237</v>
      </c>
      <c r="C118" s="87" t="s">
        <v>129</v>
      </c>
      <c r="D118" s="81">
        <v>0.1</v>
      </c>
    </row>
    <row r="119" spans="1:4">
      <c r="A119" s="88">
        <f t="shared" si="6"/>
        <v>291.60000000000008</v>
      </c>
      <c r="B119" s="86" t="s">
        <v>236</v>
      </c>
      <c r="C119" s="87" t="s">
        <v>130</v>
      </c>
      <c r="D119" s="81">
        <v>2.7</v>
      </c>
    </row>
    <row r="120" spans="1:4">
      <c r="A120" s="88"/>
      <c r="B120" s="86"/>
      <c r="C120" s="87" t="s">
        <v>52</v>
      </c>
      <c r="D120" s="81"/>
    </row>
    <row r="121" spans="1:4">
      <c r="A121" s="88">
        <f>A119+D119</f>
        <v>294.30000000000007</v>
      </c>
      <c r="B121" s="86" t="s">
        <v>217</v>
      </c>
      <c r="C121" s="87" t="s">
        <v>132</v>
      </c>
      <c r="D121" s="81">
        <v>0.2</v>
      </c>
    </row>
    <row r="122" spans="1:4">
      <c r="A122" s="149">
        <f>A121+D121</f>
        <v>294.50000000000006</v>
      </c>
      <c r="B122" s="154" t="s">
        <v>236</v>
      </c>
      <c r="C122" s="147" t="s">
        <v>133</v>
      </c>
      <c r="D122" s="150">
        <v>1.3</v>
      </c>
    </row>
    <row r="123" spans="1:4">
      <c r="A123" s="164">
        <f>A122+D122</f>
        <v>295.80000000000007</v>
      </c>
      <c r="B123" s="165" t="s">
        <v>236</v>
      </c>
      <c r="C123" s="156" t="s">
        <v>161</v>
      </c>
      <c r="D123" s="161">
        <v>4.2</v>
      </c>
    </row>
    <row r="124" spans="1:4">
      <c r="A124" s="164">
        <f>A123+D123</f>
        <v>300.00000000000006</v>
      </c>
      <c r="B124" s="165" t="s">
        <v>237</v>
      </c>
      <c r="C124" s="156" t="s">
        <v>162</v>
      </c>
      <c r="D124" s="161">
        <v>3.4</v>
      </c>
    </row>
    <row r="125" spans="1:4">
      <c r="A125" s="164">
        <f>A124+D124</f>
        <v>303.40000000000003</v>
      </c>
      <c r="B125" s="165" t="s">
        <v>236</v>
      </c>
      <c r="C125" s="156" t="s">
        <v>163</v>
      </c>
      <c r="D125" s="161">
        <v>8</v>
      </c>
    </row>
    <row r="126" spans="1:4">
      <c r="A126" s="88"/>
      <c r="B126" s="86"/>
      <c r="C126" s="87" t="s">
        <v>131</v>
      </c>
      <c r="D126" s="81"/>
    </row>
    <row r="127" spans="1:4">
      <c r="A127" s="88">
        <f>A125+D125</f>
        <v>311.40000000000003</v>
      </c>
      <c r="B127" s="86" t="s">
        <v>217</v>
      </c>
      <c r="C127" s="87" t="s">
        <v>98</v>
      </c>
      <c r="D127" s="81">
        <v>0.7</v>
      </c>
    </row>
    <row r="128" spans="1:4">
      <c r="A128" s="88">
        <f t="shared" ref="A128:A134" si="7">A127+D127</f>
        <v>312.10000000000002</v>
      </c>
      <c r="B128" s="86" t="s">
        <v>217</v>
      </c>
      <c r="C128" s="87" t="s">
        <v>99</v>
      </c>
      <c r="D128" s="81">
        <v>1</v>
      </c>
    </row>
    <row r="129" spans="1:4">
      <c r="A129" s="176">
        <f t="shared" si="7"/>
        <v>313.10000000000002</v>
      </c>
      <c r="B129" s="165" t="s">
        <v>236</v>
      </c>
      <c r="C129" s="156" t="s">
        <v>80</v>
      </c>
      <c r="D129" s="161">
        <v>1.3</v>
      </c>
    </row>
    <row r="130" spans="1:4">
      <c r="A130" s="88">
        <f t="shared" si="7"/>
        <v>314.40000000000003</v>
      </c>
      <c r="B130" s="86" t="s">
        <v>237</v>
      </c>
      <c r="C130" s="147" t="s">
        <v>22</v>
      </c>
      <c r="D130" s="81">
        <v>0.9</v>
      </c>
    </row>
    <row r="131" spans="1:4">
      <c r="A131" s="88">
        <f t="shared" si="7"/>
        <v>315.3</v>
      </c>
      <c r="B131" s="89" t="s">
        <v>236</v>
      </c>
      <c r="C131" s="90" t="s">
        <v>20</v>
      </c>
      <c r="D131" s="81">
        <v>1.6</v>
      </c>
    </row>
    <row r="132" spans="1:4">
      <c r="A132" s="88">
        <f t="shared" si="7"/>
        <v>316.90000000000003</v>
      </c>
      <c r="B132" s="89" t="s">
        <v>237</v>
      </c>
      <c r="C132" s="90" t="s">
        <v>219</v>
      </c>
      <c r="D132" s="81">
        <v>2.4</v>
      </c>
    </row>
    <row r="133" spans="1:4">
      <c r="A133" s="88">
        <f t="shared" si="7"/>
        <v>319.3</v>
      </c>
      <c r="B133" s="89" t="s">
        <v>236</v>
      </c>
      <c r="C133" s="90" t="s">
        <v>81</v>
      </c>
      <c r="D133" s="81">
        <v>0.8</v>
      </c>
    </row>
    <row r="134" spans="1:4">
      <c r="A134" s="164">
        <f t="shared" si="7"/>
        <v>320.10000000000002</v>
      </c>
      <c r="B134" s="165" t="s">
        <v>237</v>
      </c>
      <c r="C134" s="156" t="s">
        <v>82</v>
      </c>
      <c r="D134" s="161">
        <v>3</v>
      </c>
    </row>
    <row r="135" spans="1:4">
      <c r="A135" s="88">
        <f>A134+D134</f>
        <v>323.10000000000002</v>
      </c>
      <c r="B135" s="86" t="s">
        <v>217</v>
      </c>
      <c r="C135" s="90" t="s">
        <v>53</v>
      </c>
      <c r="D135" s="81">
        <v>1</v>
      </c>
    </row>
    <row r="136" spans="1:4">
      <c r="A136" s="178">
        <f t="shared" ref="A136:A143" si="8">A135+D135</f>
        <v>324.10000000000002</v>
      </c>
      <c r="B136" s="179" t="s">
        <v>236</v>
      </c>
      <c r="C136" s="180" t="s">
        <v>23</v>
      </c>
      <c r="D136" s="155">
        <v>0.3</v>
      </c>
    </row>
    <row r="137" spans="1:4">
      <c r="A137" s="164">
        <f t="shared" si="8"/>
        <v>324.40000000000003</v>
      </c>
      <c r="B137" s="165" t="s">
        <v>237</v>
      </c>
      <c r="C137" s="156" t="s">
        <v>24</v>
      </c>
      <c r="D137" s="161">
        <v>1</v>
      </c>
    </row>
    <row r="138" spans="1:4">
      <c r="A138" s="88">
        <f t="shared" si="8"/>
        <v>325.40000000000003</v>
      </c>
      <c r="B138" s="86" t="s">
        <v>236</v>
      </c>
      <c r="C138" s="87" t="s">
        <v>54</v>
      </c>
      <c r="D138" s="155">
        <v>1.9</v>
      </c>
    </row>
    <row r="139" spans="1:4">
      <c r="A139" s="88">
        <f t="shared" si="8"/>
        <v>327.3</v>
      </c>
      <c r="B139" s="165" t="s">
        <v>237</v>
      </c>
      <c r="C139" s="90" t="s">
        <v>148</v>
      </c>
      <c r="D139" s="81">
        <v>1.4</v>
      </c>
    </row>
    <row r="140" spans="1:4">
      <c r="A140" s="88">
        <f t="shared" si="8"/>
        <v>328.7</v>
      </c>
      <c r="B140" s="165" t="s">
        <v>237</v>
      </c>
      <c r="C140" s="90" t="s">
        <v>220</v>
      </c>
      <c r="D140" s="81">
        <v>5.8</v>
      </c>
    </row>
    <row r="141" spans="1:4">
      <c r="A141" s="88">
        <f t="shared" si="8"/>
        <v>334.5</v>
      </c>
      <c r="B141" s="165" t="s">
        <v>236</v>
      </c>
      <c r="C141" s="90" t="s">
        <v>25</v>
      </c>
      <c r="D141" s="81">
        <v>2.4</v>
      </c>
    </row>
    <row r="142" spans="1:4">
      <c r="A142" s="149">
        <f t="shared" si="8"/>
        <v>336.9</v>
      </c>
      <c r="B142" s="165" t="s">
        <v>237</v>
      </c>
      <c r="C142" s="146" t="s">
        <v>26</v>
      </c>
      <c r="D142" s="150">
        <v>2.7</v>
      </c>
    </row>
    <row r="143" spans="1:4">
      <c r="A143" s="88">
        <f t="shared" si="8"/>
        <v>339.59999999999997</v>
      </c>
      <c r="B143" s="86" t="s">
        <v>237</v>
      </c>
      <c r="C143" s="87" t="s">
        <v>83</v>
      </c>
      <c r="D143" s="81">
        <v>6.3</v>
      </c>
    </row>
    <row r="144" spans="1:4">
      <c r="A144" s="164"/>
      <c r="B144" s="165"/>
      <c r="C144" s="156"/>
      <c r="D144" s="161"/>
    </row>
    <row r="145" spans="1:4">
      <c r="A145" s="173">
        <f>A143+D143</f>
        <v>345.9</v>
      </c>
      <c r="B145" s="165"/>
      <c r="C145" s="166" t="s">
        <v>134</v>
      </c>
      <c r="D145" s="161"/>
    </row>
    <row r="146" spans="1:4">
      <c r="A146" s="164"/>
      <c r="B146" s="165"/>
      <c r="C146" s="166" t="s">
        <v>135</v>
      </c>
      <c r="D146" s="161"/>
    </row>
    <row r="147" spans="1:4">
      <c r="A147" s="164"/>
      <c r="B147" s="165"/>
      <c r="C147" s="166" t="s">
        <v>136</v>
      </c>
      <c r="D147" s="161"/>
    </row>
    <row r="148" spans="1:4">
      <c r="A148" s="164"/>
      <c r="B148" s="165"/>
      <c r="C148" s="156"/>
      <c r="D148" s="161"/>
    </row>
    <row r="149" spans="1:4">
      <c r="A149" s="164">
        <f>A145</f>
        <v>345.9</v>
      </c>
      <c r="B149" s="89" t="s">
        <v>236</v>
      </c>
      <c r="C149" s="90" t="s">
        <v>141</v>
      </c>
      <c r="D149" s="81">
        <v>2.1</v>
      </c>
    </row>
    <row r="150" spans="1:4">
      <c r="A150" s="185">
        <f>A149+D149</f>
        <v>348</v>
      </c>
      <c r="B150" s="157" t="s">
        <v>237</v>
      </c>
      <c r="C150" s="158" t="s">
        <v>146</v>
      </c>
      <c r="D150" s="155">
        <v>10.4</v>
      </c>
    </row>
    <row r="151" spans="1:4">
      <c r="A151" s="164">
        <f>A150+D150</f>
        <v>358.4</v>
      </c>
      <c r="B151" s="165" t="s">
        <v>217</v>
      </c>
      <c r="C151" s="156" t="s">
        <v>209</v>
      </c>
      <c r="D151" s="161">
        <v>6.4</v>
      </c>
    </row>
    <row r="152" spans="1:4">
      <c r="A152" s="164">
        <f>A151+D151</f>
        <v>364.79999999999995</v>
      </c>
      <c r="B152" s="165" t="s">
        <v>137</v>
      </c>
      <c r="C152" s="156" t="s">
        <v>39</v>
      </c>
      <c r="D152" s="161">
        <v>0.6</v>
      </c>
    </row>
    <row r="153" spans="1:4">
      <c r="A153" s="88">
        <f>A152+D152</f>
        <v>365.4</v>
      </c>
      <c r="B153" s="86" t="s">
        <v>237</v>
      </c>
      <c r="C153" s="87" t="s">
        <v>13</v>
      </c>
      <c r="D153" s="172">
        <v>3.1</v>
      </c>
    </row>
    <row r="154" spans="1:4">
      <c r="A154" s="164">
        <f>A153+D153</f>
        <v>368.5</v>
      </c>
      <c r="B154" s="165" t="s">
        <v>236</v>
      </c>
      <c r="C154" s="156" t="s">
        <v>56</v>
      </c>
      <c r="D154" s="161">
        <v>4.4000000000000004</v>
      </c>
    </row>
    <row r="155" spans="1:4">
      <c r="A155" s="164"/>
      <c r="B155" s="165"/>
      <c r="C155" s="156" t="s">
        <v>57</v>
      </c>
      <c r="D155" s="161"/>
    </row>
    <row r="156" spans="1:4">
      <c r="A156" s="164">
        <f>A154+D154</f>
        <v>372.9</v>
      </c>
      <c r="B156" s="165" t="s">
        <v>217</v>
      </c>
      <c r="C156" s="156" t="s">
        <v>139</v>
      </c>
      <c r="D156" s="161">
        <v>2.4</v>
      </c>
    </row>
    <row r="157" spans="1:4">
      <c r="A157" s="88">
        <f>A156+D156</f>
        <v>375.29999999999995</v>
      </c>
      <c r="B157" s="89" t="s">
        <v>217</v>
      </c>
      <c r="C157" s="90" t="s">
        <v>55</v>
      </c>
      <c r="D157" s="81">
        <v>1.6</v>
      </c>
    </row>
    <row r="158" spans="1:4">
      <c r="A158" s="149">
        <f t="shared" ref="A158:A171" si="9">A157+D157</f>
        <v>376.9</v>
      </c>
      <c r="B158" s="148" t="s">
        <v>217</v>
      </c>
      <c r="C158" s="146" t="s">
        <v>58</v>
      </c>
      <c r="D158" s="150">
        <v>1.3</v>
      </c>
    </row>
    <row r="159" spans="1:4">
      <c r="A159" s="149">
        <f t="shared" si="9"/>
        <v>378.2</v>
      </c>
      <c r="B159" s="148" t="s">
        <v>236</v>
      </c>
      <c r="C159" s="146" t="s">
        <v>147</v>
      </c>
      <c r="D159" s="150">
        <v>0.7</v>
      </c>
    </row>
    <row r="160" spans="1:4">
      <c r="A160" s="164">
        <f t="shared" si="9"/>
        <v>378.9</v>
      </c>
      <c r="B160" s="165" t="s">
        <v>237</v>
      </c>
      <c r="C160" s="156" t="s">
        <v>64</v>
      </c>
      <c r="D160" s="161">
        <v>1.4</v>
      </c>
    </row>
    <row r="161" spans="1:4">
      <c r="A161" s="88">
        <f t="shared" si="9"/>
        <v>380.29999999999995</v>
      </c>
      <c r="B161" s="89" t="s">
        <v>236</v>
      </c>
      <c r="C161" s="90" t="s">
        <v>111</v>
      </c>
      <c r="D161" s="81">
        <v>6</v>
      </c>
    </row>
    <row r="162" spans="1:4">
      <c r="A162" s="88">
        <f t="shared" si="9"/>
        <v>386.29999999999995</v>
      </c>
      <c r="B162" s="89" t="s">
        <v>236</v>
      </c>
      <c r="C162" s="90" t="s">
        <v>149</v>
      </c>
      <c r="D162" s="81">
        <v>0.3</v>
      </c>
    </row>
    <row r="163" spans="1:4">
      <c r="A163" s="88">
        <f t="shared" si="9"/>
        <v>386.59999999999997</v>
      </c>
      <c r="B163" s="89" t="s">
        <v>236</v>
      </c>
      <c r="C163" s="90" t="s">
        <v>140</v>
      </c>
      <c r="D163" s="81">
        <v>0.4</v>
      </c>
    </row>
    <row r="164" spans="1:4">
      <c r="A164" s="88">
        <f t="shared" si="9"/>
        <v>386.99999999999994</v>
      </c>
      <c r="B164" s="89" t="s">
        <v>236</v>
      </c>
      <c r="C164" s="90" t="s">
        <v>242</v>
      </c>
      <c r="D164" s="81">
        <v>2.2999999999999998</v>
      </c>
    </row>
    <row r="165" spans="1:4">
      <c r="A165" s="88">
        <f t="shared" si="9"/>
        <v>389.29999999999995</v>
      </c>
      <c r="B165" s="89" t="s">
        <v>236</v>
      </c>
      <c r="C165" s="90" t="s">
        <v>243</v>
      </c>
      <c r="D165" s="81">
        <v>2.7</v>
      </c>
    </row>
    <row r="166" spans="1:4">
      <c r="A166" s="88">
        <f t="shared" si="9"/>
        <v>391.99999999999994</v>
      </c>
      <c r="B166" s="89" t="s">
        <v>236</v>
      </c>
      <c r="C166" s="90" t="s">
        <v>84</v>
      </c>
      <c r="D166" s="81">
        <v>2.6</v>
      </c>
    </row>
    <row r="167" spans="1:4">
      <c r="A167" s="88">
        <f t="shared" si="9"/>
        <v>394.59999999999997</v>
      </c>
      <c r="B167" s="89" t="s">
        <v>217</v>
      </c>
      <c r="C167" s="90" t="s">
        <v>73</v>
      </c>
      <c r="D167" s="81">
        <v>1.1000000000000001</v>
      </c>
    </row>
    <row r="168" spans="1:4">
      <c r="A168" s="88">
        <f t="shared" si="9"/>
        <v>395.7</v>
      </c>
      <c r="B168" s="89" t="s">
        <v>237</v>
      </c>
      <c r="C168" s="90" t="s">
        <v>244</v>
      </c>
      <c r="D168" s="81">
        <v>3.6</v>
      </c>
    </row>
    <row r="169" spans="1:4">
      <c r="A169" s="88">
        <f t="shared" si="9"/>
        <v>399.3</v>
      </c>
      <c r="B169" s="89" t="s">
        <v>237</v>
      </c>
      <c r="C169" s="90" t="s">
        <v>245</v>
      </c>
      <c r="D169" s="81">
        <v>2.4</v>
      </c>
    </row>
    <row r="170" spans="1:4">
      <c r="A170" s="88">
        <f t="shared" si="9"/>
        <v>401.7</v>
      </c>
      <c r="B170" s="89" t="s">
        <v>236</v>
      </c>
      <c r="C170" s="90" t="s">
        <v>141</v>
      </c>
      <c r="D170" s="81">
        <v>0.5</v>
      </c>
    </row>
    <row r="171" spans="1:4">
      <c r="A171" s="149">
        <f t="shared" si="9"/>
        <v>402.2</v>
      </c>
      <c r="B171" s="148" t="s">
        <v>236</v>
      </c>
      <c r="C171" s="146" t="s">
        <v>142</v>
      </c>
      <c r="D171" s="150">
        <v>0.1</v>
      </c>
    </row>
    <row r="172" spans="1:4">
      <c r="A172" s="164"/>
      <c r="B172" s="165"/>
      <c r="C172" s="156"/>
      <c r="D172" s="161"/>
    </row>
    <row r="173" spans="1:4">
      <c r="A173" s="129">
        <f>A171+D171</f>
        <v>402.3</v>
      </c>
      <c r="B173" s="130" t="s">
        <v>237</v>
      </c>
      <c r="C173" s="130" t="s">
        <v>27</v>
      </c>
      <c r="D173" s="81"/>
    </row>
    <row r="174" spans="1:4" ht="13" thickBot="1">
      <c r="A174" s="163"/>
      <c r="B174" s="159"/>
      <c r="C174" s="189" t="s">
        <v>238</v>
      </c>
      <c r="D174" s="162"/>
    </row>
  </sheetData>
  <phoneticPr fontId="16" type="noConversion"/>
  <pageMargins left="0.75" right="0.75" top="1" bottom="1" header="0.5" footer="0.5"/>
  <pageSetup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Entry</vt:lpstr>
      <vt:lpstr>Control Sheet</vt:lpstr>
      <vt:lpstr>Riders</vt:lpstr>
      <vt:lpstr>VI402A 070812</vt:lpstr>
      <vt:lpstr>Web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Backroad 400</dc:title>
  <dc:creator>Raymond Parker</dc:creator>
  <cp:lastModifiedBy>Sian Echard</cp:lastModifiedBy>
  <cp:lastPrinted>2014-07-22T19:48:03Z</cp:lastPrinted>
  <dcterms:created xsi:type="dcterms:W3CDTF">1997-11-12T04:43:39Z</dcterms:created>
  <dcterms:modified xsi:type="dcterms:W3CDTF">2014-07-23T18:52:24Z</dcterms:modified>
</cp:coreProperties>
</file>